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955" windowWidth="20115" windowHeight="1185"/>
  </bookViews>
  <sheets>
    <sheet name="Премија" sheetId="1" r:id="rId1"/>
    <sheet name="Број на склучени договори" sheetId="2" r:id="rId2"/>
    <sheet name="Ликвидирани штети" sheetId="3" r:id="rId3"/>
    <sheet name="Број на ликвидирани штети" sheetId="4" r:id="rId4"/>
    <sheet name="Број на резервирани штети" sheetId="5" r:id="rId5"/>
    <sheet name="Резервации" sheetId="6" r:id="rId6"/>
    <sheet name="Не пријавени штети" sheetId="58" r:id="rId7"/>
    <sheet name="ЗАО договори" sheetId="8" r:id="rId8"/>
    <sheet name="ЗАО Премија" sheetId="9" r:id="rId9"/>
    <sheet name="ЗК Број Премија" sheetId="12" r:id="rId10"/>
    <sheet name="ГР Број и Премија " sheetId="53" r:id="rId11"/>
    <sheet name="ЗАО број Лик штети" sheetId="32" r:id="rId12"/>
    <sheet name="ЗАО Ликвидирани штети" sheetId="31" r:id="rId13"/>
    <sheet name="ЗК број и штети" sheetId="30" r:id="rId14"/>
    <sheet name="ГР Број Штети" sheetId="29" r:id="rId15"/>
    <sheet name="Техничка премија" sheetId="10" r:id="rId16"/>
    <sheet name="Рез за настанати при штети" sheetId="17" r:id="rId17"/>
    <sheet name="Продажба по канали" sheetId="34" r:id="rId18"/>
    <sheet name="Бруто тех" sheetId="47" r:id="rId19"/>
    <sheet name="Вкупно" sheetId="57" r:id="rId20"/>
    <sheet name="Преносна премија" sheetId="59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calcPr calcId="145621"/>
</workbook>
</file>

<file path=xl/calcChain.xml><?xml version="1.0" encoding="utf-8"?>
<calcChain xmlns="http://schemas.openxmlformats.org/spreadsheetml/2006/main">
  <c r="M21" i="59" l="1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22" i="59" s="1"/>
  <c r="M5" i="59"/>
  <c r="M4" i="59"/>
  <c r="L21" i="59"/>
  <c r="L20" i="59"/>
  <c r="L19" i="59"/>
  <c r="L18" i="59"/>
  <c r="L17" i="59"/>
  <c r="L16" i="59"/>
  <c r="L15" i="59"/>
  <c r="L14" i="59"/>
  <c r="L13" i="59"/>
  <c r="L12" i="59"/>
  <c r="L11" i="59"/>
  <c r="L10" i="59"/>
  <c r="L9" i="59"/>
  <c r="L8" i="59"/>
  <c r="L7" i="59"/>
  <c r="L6" i="59"/>
  <c r="L5" i="59"/>
  <c r="L4" i="59"/>
  <c r="K21" i="59"/>
  <c r="K20" i="59"/>
  <c r="K19" i="59"/>
  <c r="K18" i="59"/>
  <c r="K17" i="59"/>
  <c r="K16" i="59"/>
  <c r="K15" i="59"/>
  <c r="K14" i="59"/>
  <c r="K13" i="59"/>
  <c r="K12" i="59"/>
  <c r="K11" i="59"/>
  <c r="K10" i="59"/>
  <c r="K9" i="59"/>
  <c r="K8" i="59"/>
  <c r="K7" i="59"/>
  <c r="K6" i="59"/>
  <c r="K5" i="59"/>
  <c r="K4" i="59"/>
  <c r="J21" i="59"/>
  <c r="J20" i="59"/>
  <c r="J19" i="59"/>
  <c r="J18" i="59"/>
  <c r="J17" i="59"/>
  <c r="J16" i="59"/>
  <c r="J15" i="59"/>
  <c r="J14" i="59"/>
  <c r="J13" i="59"/>
  <c r="J12" i="59"/>
  <c r="J11" i="59"/>
  <c r="J10" i="59"/>
  <c r="J9" i="59"/>
  <c r="J8" i="59"/>
  <c r="J7" i="59"/>
  <c r="J6" i="59"/>
  <c r="J5" i="59"/>
  <c r="J4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4" i="59"/>
  <c r="F21" i="59"/>
  <c r="F20" i="59"/>
  <c r="F19" i="59"/>
  <c r="F18" i="59"/>
  <c r="F17" i="59"/>
  <c r="F16" i="59"/>
  <c r="F15" i="59"/>
  <c r="F14" i="59"/>
  <c r="F13" i="59"/>
  <c r="F12" i="59"/>
  <c r="F11" i="59"/>
  <c r="F10" i="59"/>
  <c r="F9" i="59"/>
  <c r="F8" i="59"/>
  <c r="F7" i="59"/>
  <c r="F6" i="59"/>
  <c r="F5" i="59"/>
  <c r="F4" i="59"/>
  <c r="F22" i="59" s="1"/>
  <c r="E21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8" i="59"/>
  <c r="E7" i="59"/>
  <c r="E6" i="59"/>
  <c r="E5" i="59"/>
  <c r="E4" i="59"/>
  <c r="D21" i="59"/>
  <c r="D20" i="59"/>
  <c r="D19" i="59"/>
  <c r="D18" i="59"/>
  <c r="D17" i="59"/>
  <c r="D16" i="59"/>
  <c r="D15" i="59"/>
  <c r="D14" i="59"/>
  <c r="D13" i="59"/>
  <c r="D12" i="59"/>
  <c r="D11" i="59"/>
  <c r="D10" i="59"/>
  <c r="D9" i="59"/>
  <c r="D8" i="59"/>
  <c r="D7" i="59"/>
  <c r="D6" i="59"/>
  <c r="D5" i="59"/>
  <c r="D4" i="59"/>
  <c r="C21" i="59"/>
  <c r="C20" i="59"/>
  <c r="N20" i="59" s="1"/>
  <c r="C19" i="59"/>
  <c r="C18" i="59"/>
  <c r="C17" i="59"/>
  <c r="C16" i="59"/>
  <c r="N16" i="59" s="1"/>
  <c r="C15" i="59"/>
  <c r="C14" i="59"/>
  <c r="C13" i="59"/>
  <c r="C12" i="59"/>
  <c r="C11" i="59"/>
  <c r="C10" i="59"/>
  <c r="C9" i="59"/>
  <c r="C8" i="59"/>
  <c r="N8" i="59" s="1"/>
  <c r="C7" i="59"/>
  <c r="C6" i="59"/>
  <c r="C5" i="59"/>
  <c r="C4" i="59"/>
  <c r="N4" i="59" s="1"/>
  <c r="I21" i="59"/>
  <c r="I20" i="59"/>
  <c r="I19" i="59"/>
  <c r="I18" i="59"/>
  <c r="I17" i="59"/>
  <c r="I16" i="59"/>
  <c r="I15" i="59"/>
  <c r="I14" i="59"/>
  <c r="I13" i="59"/>
  <c r="I12" i="59"/>
  <c r="I11" i="59"/>
  <c r="I10" i="59"/>
  <c r="I9" i="59"/>
  <c r="I8" i="59"/>
  <c r="I7" i="59"/>
  <c r="I6" i="59"/>
  <c r="I5" i="59"/>
  <c r="I4" i="59"/>
  <c r="N19" i="59"/>
  <c r="N18" i="59"/>
  <c r="N15" i="59"/>
  <c r="N12" i="59"/>
  <c r="N10" i="59"/>
  <c r="N6" i="59"/>
  <c r="N5" i="59"/>
  <c r="K22" i="59"/>
  <c r="H22" i="59"/>
  <c r="G22" i="59"/>
  <c r="D22" i="59"/>
  <c r="N17" i="59" l="1"/>
  <c r="N7" i="59"/>
  <c r="N11" i="59"/>
  <c r="N9" i="59"/>
  <c r="N13" i="59"/>
  <c r="N21" i="59"/>
  <c r="J22" i="59"/>
  <c r="N14" i="59"/>
  <c r="L22" i="59"/>
  <c r="E22" i="59"/>
  <c r="I22" i="59"/>
  <c r="C22" i="59"/>
  <c r="J15" i="47"/>
  <c r="F15" i="47"/>
  <c r="E15" i="47"/>
  <c r="D15" i="47"/>
  <c r="C15" i="47"/>
  <c r="K7" i="17"/>
  <c r="K6" i="17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28" i="29"/>
  <c r="K27" i="29"/>
  <c r="K26" i="29"/>
  <c r="K25" i="29"/>
  <c r="K24" i="29"/>
  <c r="K23" i="29"/>
  <c r="K22" i="29"/>
  <c r="K21" i="29"/>
  <c r="K12" i="29"/>
  <c r="K11" i="29"/>
  <c r="K10" i="29"/>
  <c r="K9" i="29"/>
  <c r="K8" i="29"/>
  <c r="K7" i="29"/>
  <c r="K6" i="29"/>
  <c r="K5" i="29"/>
  <c r="K29" i="30"/>
  <c r="K28" i="30"/>
  <c r="K27" i="30"/>
  <c r="K26" i="30"/>
  <c r="K25" i="30"/>
  <c r="K24" i="30"/>
  <c r="K23" i="30"/>
  <c r="K22" i="30"/>
  <c r="K12" i="30"/>
  <c r="K11" i="30"/>
  <c r="K10" i="30"/>
  <c r="K9" i="30"/>
  <c r="K8" i="30"/>
  <c r="K7" i="30"/>
  <c r="K6" i="30"/>
  <c r="K5" i="30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K28" i="53"/>
  <c r="K27" i="53"/>
  <c r="K26" i="53"/>
  <c r="K25" i="53"/>
  <c r="K24" i="53"/>
  <c r="K23" i="53"/>
  <c r="K22" i="53"/>
  <c r="K21" i="53"/>
  <c r="K12" i="53"/>
  <c r="K11" i="53"/>
  <c r="K10" i="53"/>
  <c r="K9" i="53"/>
  <c r="K8" i="53"/>
  <c r="K7" i="53"/>
  <c r="K6" i="53"/>
  <c r="K5" i="53"/>
  <c r="K29" i="12"/>
  <c r="K28" i="12"/>
  <c r="K27" i="12"/>
  <c r="K26" i="12"/>
  <c r="K25" i="12"/>
  <c r="K24" i="12"/>
  <c r="K23" i="12"/>
  <c r="K22" i="12"/>
  <c r="K12" i="12"/>
  <c r="K11" i="12"/>
  <c r="K10" i="12"/>
  <c r="K9" i="12"/>
  <c r="K8" i="12"/>
  <c r="K7" i="12"/>
  <c r="K6" i="12"/>
  <c r="K5" i="12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8" i="58"/>
  <c r="K7" i="58"/>
  <c r="K6" i="58"/>
  <c r="K5" i="58"/>
  <c r="K4" i="58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21" i="3"/>
  <c r="K20" i="3"/>
  <c r="K19" i="3"/>
  <c r="K18" i="3"/>
  <c r="K21" i="2"/>
  <c r="K20" i="2"/>
  <c r="K19" i="2"/>
  <c r="K18" i="2"/>
  <c r="K18" i="1"/>
  <c r="K19" i="1"/>
  <c r="K21" i="1"/>
  <c r="K20" i="1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22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N22" i="59" l="1"/>
  <c r="M24" i="59" s="1"/>
  <c r="E24" i="59"/>
  <c r="I24" i="59"/>
  <c r="L24" i="59"/>
  <c r="H24" i="59"/>
  <c r="D24" i="59"/>
  <c r="C24" i="59"/>
  <c r="K24" i="59"/>
  <c r="G24" i="59"/>
  <c r="J24" i="59"/>
  <c r="F24" i="59"/>
  <c r="G15" i="47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34" i="34"/>
  <c r="J33" i="34"/>
  <c r="J32" i="34"/>
  <c r="J30" i="34"/>
  <c r="J29" i="34"/>
  <c r="J28" i="34"/>
  <c r="J26" i="34"/>
  <c r="J25" i="34"/>
  <c r="J24" i="34"/>
  <c r="J22" i="34"/>
  <c r="J21" i="34"/>
  <c r="J20" i="34"/>
  <c r="J18" i="34"/>
  <c r="J17" i="34"/>
  <c r="J16" i="34"/>
  <c r="J14" i="34"/>
  <c r="J13" i="34"/>
  <c r="J12" i="34"/>
  <c r="J10" i="34"/>
  <c r="J9" i="34"/>
  <c r="J8" i="34"/>
  <c r="J6" i="34"/>
  <c r="J5" i="34"/>
  <c r="J4" i="34"/>
  <c r="N24" i="59" l="1"/>
  <c r="G6" i="34"/>
  <c r="G5" i="31"/>
  <c r="H5" i="31"/>
  <c r="I5" i="31"/>
  <c r="J5" i="31"/>
  <c r="L5" i="31"/>
  <c r="G6" i="31"/>
  <c r="H6" i="31"/>
  <c r="I6" i="31"/>
  <c r="J6" i="31"/>
  <c r="L6" i="31"/>
  <c r="G7" i="31"/>
  <c r="H7" i="31"/>
  <c r="I7" i="31"/>
  <c r="J7" i="31"/>
  <c r="L7" i="31"/>
  <c r="G8" i="31"/>
  <c r="H8" i="31"/>
  <c r="I8" i="31"/>
  <c r="J8" i="31"/>
  <c r="L8" i="31"/>
  <c r="G9" i="31"/>
  <c r="H9" i="31"/>
  <c r="I9" i="31"/>
  <c r="J9" i="31"/>
  <c r="L9" i="31"/>
  <c r="G10" i="31"/>
  <c r="H10" i="31"/>
  <c r="I10" i="31"/>
  <c r="J10" i="31"/>
  <c r="L10" i="31"/>
  <c r="G11" i="31"/>
  <c r="H11" i="31"/>
  <c r="I11" i="31"/>
  <c r="J11" i="31"/>
  <c r="L11" i="31"/>
  <c r="G12" i="31"/>
  <c r="H12" i="31"/>
  <c r="I12" i="31"/>
  <c r="J12" i="31"/>
  <c r="L12" i="31"/>
  <c r="G13" i="31"/>
  <c r="H13" i="31"/>
  <c r="I13" i="31"/>
  <c r="J13" i="31"/>
  <c r="L13" i="31"/>
  <c r="G14" i="31"/>
  <c r="H14" i="31"/>
  <c r="I14" i="31"/>
  <c r="J14" i="31"/>
  <c r="L14" i="31"/>
  <c r="G15" i="31"/>
  <c r="H15" i="31"/>
  <c r="I15" i="31"/>
  <c r="J15" i="31"/>
  <c r="L15" i="31"/>
  <c r="G16" i="31"/>
  <c r="H16" i="31"/>
  <c r="I16" i="31"/>
  <c r="J16" i="31"/>
  <c r="K18" i="31"/>
  <c r="L16" i="31"/>
  <c r="G17" i="31"/>
  <c r="H17" i="31"/>
  <c r="I17" i="31"/>
  <c r="J17" i="31"/>
  <c r="L17" i="31"/>
  <c r="G5" i="8"/>
  <c r="H18" i="31" l="1"/>
  <c r="L18" i="31"/>
  <c r="J18" i="31"/>
  <c r="G18" i="31"/>
  <c r="I18" i="31"/>
  <c r="L10" i="34"/>
  <c r="L34" i="34" l="1"/>
  <c r="L33" i="34"/>
  <c r="L32" i="34"/>
  <c r="L30" i="34"/>
  <c r="L29" i="34"/>
  <c r="L28" i="34"/>
  <c r="L26" i="34"/>
  <c r="L25" i="34"/>
  <c r="L24" i="34"/>
  <c r="L22" i="34"/>
  <c r="L21" i="34"/>
  <c r="L20" i="34"/>
  <c r="L18" i="34"/>
  <c r="L17" i="34"/>
  <c r="L16" i="34"/>
  <c r="L12" i="34"/>
  <c r="L14" i="34"/>
  <c r="L13" i="34"/>
  <c r="L9" i="34"/>
  <c r="L8" i="34"/>
  <c r="L6" i="34"/>
  <c r="L5" i="34"/>
  <c r="L4" i="34"/>
  <c r="I6" i="47" l="1"/>
  <c r="H6" i="47"/>
  <c r="J17" i="47"/>
  <c r="F17" i="47"/>
  <c r="E17" i="47"/>
  <c r="D17" i="47"/>
  <c r="C17" i="47"/>
  <c r="M7" i="17"/>
  <c r="M6" i="17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28" i="29"/>
  <c r="M27" i="29"/>
  <c r="M26" i="29"/>
  <c r="M25" i="29"/>
  <c r="M24" i="29"/>
  <c r="M23" i="29"/>
  <c r="M22" i="29"/>
  <c r="M21" i="29"/>
  <c r="M12" i="29"/>
  <c r="M11" i="29"/>
  <c r="M10" i="29"/>
  <c r="M9" i="29"/>
  <c r="M8" i="29"/>
  <c r="M7" i="29"/>
  <c r="M6" i="29"/>
  <c r="M5" i="29"/>
  <c r="M29" i="30"/>
  <c r="M28" i="30"/>
  <c r="M27" i="30"/>
  <c r="M26" i="30"/>
  <c r="M25" i="30"/>
  <c r="M24" i="30"/>
  <c r="M23" i="30"/>
  <c r="M22" i="30"/>
  <c r="M12" i="30"/>
  <c r="M11" i="30"/>
  <c r="M10" i="30"/>
  <c r="M9" i="30"/>
  <c r="M8" i="30"/>
  <c r="M7" i="30"/>
  <c r="M6" i="30"/>
  <c r="M5" i="30"/>
  <c r="M13" i="29" l="1"/>
  <c r="M13" i="30"/>
  <c r="M30" i="30"/>
  <c r="M29" i="29"/>
  <c r="M22" i="10"/>
  <c r="G17" i="47"/>
  <c r="K17" i="47" s="1"/>
  <c r="M17" i="31"/>
  <c r="M16" i="31"/>
  <c r="M15" i="31"/>
  <c r="M14" i="31"/>
  <c r="M13" i="31"/>
  <c r="M12" i="31"/>
  <c r="M11" i="31"/>
  <c r="M10" i="31"/>
  <c r="M9" i="31"/>
  <c r="M8" i="31"/>
  <c r="M7" i="31"/>
  <c r="M6" i="31"/>
  <c r="M5" i="31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28" i="53"/>
  <c r="M27" i="53"/>
  <c r="M26" i="53"/>
  <c r="M25" i="53"/>
  <c r="M24" i="53"/>
  <c r="M23" i="53"/>
  <c r="M22" i="53"/>
  <c r="M21" i="53"/>
  <c r="M12" i="53"/>
  <c r="M11" i="53"/>
  <c r="M10" i="53"/>
  <c r="M9" i="53"/>
  <c r="M8" i="53"/>
  <c r="M7" i="53"/>
  <c r="M6" i="53"/>
  <c r="M5" i="53"/>
  <c r="M29" i="12"/>
  <c r="M28" i="12"/>
  <c r="M27" i="12"/>
  <c r="M26" i="12"/>
  <c r="M25" i="12"/>
  <c r="M24" i="12"/>
  <c r="M23" i="12"/>
  <c r="M22" i="12"/>
  <c r="M12" i="12"/>
  <c r="M11" i="12"/>
  <c r="M10" i="12"/>
  <c r="M9" i="12"/>
  <c r="M8" i="12"/>
  <c r="M7" i="12"/>
  <c r="M6" i="12"/>
  <c r="M5" i="12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5" i="58"/>
  <c r="M7" i="58"/>
  <c r="M8" i="58"/>
  <c r="M9" i="58"/>
  <c r="M10" i="58"/>
  <c r="M14" i="58"/>
  <c r="M15" i="58"/>
  <c r="M21" i="58"/>
  <c r="M20" i="58"/>
  <c r="M19" i="58"/>
  <c r="M18" i="58"/>
  <c r="M17" i="58"/>
  <c r="M16" i="58"/>
  <c r="M13" i="58"/>
  <c r="M12" i="58"/>
  <c r="M11" i="58"/>
  <c r="M6" i="58"/>
  <c r="M4" i="58"/>
  <c r="H28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3" i="12" l="1"/>
  <c r="M30" i="12"/>
  <c r="M13" i="53"/>
  <c r="M29" i="53"/>
  <c r="M18" i="8"/>
  <c r="M22" i="5"/>
  <c r="M19" i="9"/>
  <c r="M18" i="32"/>
  <c r="M22" i="4"/>
  <c r="M22" i="6"/>
  <c r="M18" i="31"/>
  <c r="M22" i="58"/>
  <c r="M22" i="3"/>
  <c r="M6" i="1"/>
  <c r="M5" i="1"/>
  <c r="M4" i="1"/>
  <c r="M22" i="1" s="1"/>
  <c r="C7" i="10" l="1"/>
  <c r="I24" i="47" l="1"/>
  <c r="F24" i="47"/>
  <c r="E24" i="47"/>
  <c r="G24" i="47" s="1"/>
  <c r="D24" i="47"/>
  <c r="C24" i="47"/>
  <c r="J18" i="47"/>
  <c r="H18" i="47"/>
  <c r="H13" i="17"/>
  <c r="H12" i="17"/>
  <c r="H28" i="10"/>
  <c r="H28" i="58"/>
  <c r="H28" i="5"/>
  <c r="H28" i="4"/>
  <c r="H28" i="3"/>
  <c r="H28" i="2"/>
  <c r="H28" i="1"/>
  <c r="K24" i="47" l="1"/>
  <c r="F28" i="2" l="1"/>
  <c r="J15" i="6" l="1"/>
  <c r="I20" i="6"/>
  <c r="C23" i="47" l="1"/>
  <c r="I21" i="47" l="1"/>
  <c r="F21" i="47"/>
  <c r="E21" i="47"/>
  <c r="D21" i="47"/>
  <c r="C21" i="47"/>
  <c r="E13" i="17"/>
  <c r="E12" i="17"/>
  <c r="E28" i="10"/>
  <c r="E28" i="58"/>
  <c r="E28" i="6"/>
  <c r="E28" i="5"/>
  <c r="F28" i="4"/>
  <c r="E28" i="4"/>
  <c r="E28" i="3"/>
  <c r="E28" i="2"/>
  <c r="E28" i="1"/>
  <c r="G7" i="1"/>
  <c r="G13" i="1"/>
  <c r="G21" i="47" l="1"/>
  <c r="J16" i="47" l="1"/>
  <c r="F16" i="47"/>
  <c r="E16" i="47"/>
  <c r="D16" i="47"/>
  <c r="C16" i="47"/>
  <c r="K34" i="34"/>
  <c r="K33" i="34"/>
  <c r="K32" i="34"/>
  <c r="K30" i="34"/>
  <c r="K29" i="34"/>
  <c r="K28" i="34"/>
  <c r="K26" i="34"/>
  <c r="K25" i="34"/>
  <c r="K24" i="34"/>
  <c r="K22" i="34"/>
  <c r="K21" i="34"/>
  <c r="K20" i="34"/>
  <c r="K18" i="34"/>
  <c r="K17" i="34"/>
  <c r="K16" i="34"/>
  <c r="K14" i="34"/>
  <c r="K13" i="34"/>
  <c r="K12" i="34"/>
  <c r="K10" i="34"/>
  <c r="K9" i="34"/>
  <c r="K8" i="34"/>
  <c r="K6" i="34"/>
  <c r="K5" i="34"/>
  <c r="K4" i="34"/>
  <c r="L7" i="17"/>
  <c r="L6" i="17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28" i="29"/>
  <c r="L27" i="29"/>
  <c r="L26" i="29"/>
  <c r="L25" i="29"/>
  <c r="L24" i="29"/>
  <c r="L23" i="29"/>
  <c r="L22" i="29"/>
  <c r="L21" i="29"/>
  <c r="L12" i="29"/>
  <c r="L11" i="29"/>
  <c r="L10" i="29"/>
  <c r="L9" i="29"/>
  <c r="L8" i="29"/>
  <c r="L7" i="29"/>
  <c r="L6" i="29"/>
  <c r="L5" i="29"/>
  <c r="L29" i="30"/>
  <c r="L28" i="30"/>
  <c r="L27" i="30"/>
  <c r="L26" i="30"/>
  <c r="L25" i="30"/>
  <c r="L24" i="30"/>
  <c r="L23" i="30"/>
  <c r="L22" i="30"/>
  <c r="L12" i="30"/>
  <c r="L11" i="30"/>
  <c r="L10" i="30"/>
  <c r="L9" i="30"/>
  <c r="L8" i="30"/>
  <c r="L7" i="30"/>
  <c r="L6" i="30"/>
  <c r="L5" i="30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28" i="53"/>
  <c r="L27" i="53"/>
  <c r="L26" i="53"/>
  <c r="L25" i="53"/>
  <c r="L24" i="53"/>
  <c r="L23" i="53"/>
  <c r="L22" i="53"/>
  <c r="L21" i="53"/>
  <c r="L12" i="53"/>
  <c r="L11" i="53"/>
  <c r="L10" i="53"/>
  <c r="L9" i="53"/>
  <c r="L8" i="53"/>
  <c r="L7" i="53"/>
  <c r="L6" i="53"/>
  <c r="L5" i="53"/>
  <c r="L29" i="12"/>
  <c r="L28" i="12"/>
  <c r="L27" i="12"/>
  <c r="L26" i="12"/>
  <c r="L25" i="12"/>
  <c r="L24" i="12"/>
  <c r="L23" i="12"/>
  <c r="L22" i="12"/>
  <c r="L12" i="12"/>
  <c r="L11" i="12"/>
  <c r="L10" i="12"/>
  <c r="L9" i="12"/>
  <c r="L8" i="12"/>
  <c r="L7" i="12"/>
  <c r="L6" i="12"/>
  <c r="L5" i="12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G16" i="47" l="1"/>
  <c r="L22" i="1"/>
  <c r="J14" i="47"/>
  <c r="F14" i="47"/>
  <c r="E14" i="47"/>
  <c r="D14" i="47"/>
  <c r="C14" i="47"/>
  <c r="I34" i="34"/>
  <c r="I33" i="34"/>
  <c r="I32" i="34"/>
  <c r="I30" i="34"/>
  <c r="I29" i="34"/>
  <c r="I28" i="34"/>
  <c r="I26" i="34"/>
  <c r="I25" i="34"/>
  <c r="I24" i="34"/>
  <c r="I22" i="34"/>
  <c r="I21" i="34"/>
  <c r="I20" i="34"/>
  <c r="I18" i="34"/>
  <c r="I17" i="34"/>
  <c r="I16" i="34"/>
  <c r="I14" i="34"/>
  <c r="I13" i="34"/>
  <c r="I12" i="34"/>
  <c r="I10" i="34"/>
  <c r="I9" i="34"/>
  <c r="I8" i="34"/>
  <c r="I6" i="34"/>
  <c r="I5" i="34"/>
  <c r="I4" i="34"/>
  <c r="J7" i="17"/>
  <c r="J6" i="17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28" i="29"/>
  <c r="J27" i="29"/>
  <c r="J26" i="29"/>
  <c r="J25" i="29"/>
  <c r="J24" i="29"/>
  <c r="J23" i="29"/>
  <c r="J22" i="29"/>
  <c r="J21" i="29"/>
  <c r="J12" i="29"/>
  <c r="J11" i="29"/>
  <c r="J10" i="29"/>
  <c r="J9" i="29"/>
  <c r="J8" i="29"/>
  <c r="J7" i="29"/>
  <c r="J6" i="29"/>
  <c r="J5" i="29"/>
  <c r="J29" i="30"/>
  <c r="J28" i="30"/>
  <c r="J27" i="30"/>
  <c r="J26" i="30"/>
  <c r="J25" i="30"/>
  <c r="J24" i="30"/>
  <c r="J23" i="30"/>
  <c r="J22" i="30"/>
  <c r="J12" i="30"/>
  <c r="J11" i="30"/>
  <c r="J10" i="30"/>
  <c r="J9" i="30"/>
  <c r="J8" i="30"/>
  <c r="J7" i="30"/>
  <c r="J6" i="30"/>
  <c r="J5" i="30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28" i="53"/>
  <c r="J27" i="53"/>
  <c r="J26" i="53"/>
  <c r="J25" i="53"/>
  <c r="J24" i="53"/>
  <c r="J23" i="53"/>
  <c r="J22" i="53"/>
  <c r="J21" i="53"/>
  <c r="J12" i="53"/>
  <c r="J11" i="53"/>
  <c r="J10" i="53"/>
  <c r="J9" i="53"/>
  <c r="J8" i="53"/>
  <c r="J7" i="53"/>
  <c r="J6" i="53"/>
  <c r="J5" i="53"/>
  <c r="J29" i="12"/>
  <c r="J28" i="12"/>
  <c r="J27" i="12"/>
  <c r="J26" i="12"/>
  <c r="J25" i="12"/>
  <c r="J24" i="12"/>
  <c r="J23" i="12"/>
  <c r="J22" i="12"/>
  <c r="J12" i="12"/>
  <c r="J11" i="12"/>
  <c r="J10" i="12"/>
  <c r="J9" i="12"/>
  <c r="J8" i="12"/>
  <c r="J7" i="12"/>
  <c r="J6" i="12"/>
  <c r="J5" i="12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21" i="58"/>
  <c r="J20" i="58"/>
  <c r="J19" i="58"/>
  <c r="J18" i="58"/>
  <c r="J17" i="58"/>
  <c r="J16" i="58"/>
  <c r="J15" i="58"/>
  <c r="J14" i="58"/>
  <c r="J13" i="58"/>
  <c r="J12" i="58"/>
  <c r="J11" i="58"/>
  <c r="J10" i="58"/>
  <c r="J9" i="58"/>
  <c r="J8" i="58"/>
  <c r="J7" i="58"/>
  <c r="J6" i="58"/>
  <c r="J5" i="58"/>
  <c r="J4" i="58"/>
  <c r="J21" i="6"/>
  <c r="J20" i="6"/>
  <c r="J19" i="6"/>
  <c r="J18" i="6"/>
  <c r="J17" i="6"/>
  <c r="J16" i="6"/>
  <c r="J14" i="6"/>
  <c r="J13" i="6"/>
  <c r="J12" i="6"/>
  <c r="J11" i="6"/>
  <c r="J10" i="6"/>
  <c r="J9" i="6"/>
  <c r="J8" i="6"/>
  <c r="J7" i="6"/>
  <c r="J6" i="6"/>
  <c r="J5" i="6"/>
  <c r="J4" i="6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13" i="47"/>
  <c r="F13" i="47"/>
  <c r="E13" i="47"/>
  <c r="D13" i="47"/>
  <c r="C13" i="47"/>
  <c r="H34" i="34"/>
  <c r="H33" i="34"/>
  <c r="H32" i="34"/>
  <c r="H30" i="34"/>
  <c r="H29" i="34"/>
  <c r="H28" i="34"/>
  <c r="H26" i="34"/>
  <c r="H25" i="34"/>
  <c r="H24" i="34"/>
  <c r="H22" i="34"/>
  <c r="H21" i="34"/>
  <c r="H20" i="34"/>
  <c r="H18" i="34"/>
  <c r="H17" i="34"/>
  <c r="H16" i="34"/>
  <c r="H14" i="34"/>
  <c r="H13" i="34"/>
  <c r="H12" i="34"/>
  <c r="H10" i="34"/>
  <c r="H9" i="34"/>
  <c r="H8" i="34"/>
  <c r="H6" i="34"/>
  <c r="H5" i="34"/>
  <c r="H4" i="34"/>
  <c r="I7" i="17"/>
  <c r="I6" i="17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28" i="29"/>
  <c r="I27" i="29"/>
  <c r="I26" i="29"/>
  <c r="I25" i="29"/>
  <c r="I24" i="29"/>
  <c r="I23" i="29"/>
  <c r="I22" i="29"/>
  <c r="I21" i="29"/>
  <c r="I12" i="29"/>
  <c r="I11" i="29"/>
  <c r="I10" i="29"/>
  <c r="I9" i="29"/>
  <c r="I8" i="29"/>
  <c r="I7" i="29"/>
  <c r="I6" i="29"/>
  <c r="I5" i="29"/>
  <c r="I29" i="30"/>
  <c r="I28" i="30"/>
  <c r="I27" i="30"/>
  <c r="I26" i="30"/>
  <c r="I25" i="30"/>
  <c r="I24" i="30"/>
  <c r="I23" i="30"/>
  <c r="I22" i="30"/>
  <c r="I12" i="30"/>
  <c r="I11" i="30"/>
  <c r="I10" i="30"/>
  <c r="I9" i="30"/>
  <c r="I8" i="30"/>
  <c r="I7" i="30"/>
  <c r="I6" i="30"/>
  <c r="I5" i="30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28" i="53"/>
  <c r="I27" i="53"/>
  <c r="I26" i="53"/>
  <c r="I25" i="53"/>
  <c r="I24" i="53"/>
  <c r="I23" i="53"/>
  <c r="I22" i="53"/>
  <c r="I21" i="53"/>
  <c r="I12" i="53"/>
  <c r="I11" i="53"/>
  <c r="I10" i="53"/>
  <c r="I9" i="53"/>
  <c r="I8" i="53"/>
  <c r="I7" i="53"/>
  <c r="I6" i="53"/>
  <c r="I5" i="53"/>
  <c r="I29" i="12"/>
  <c r="I28" i="12"/>
  <c r="I27" i="12"/>
  <c r="I26" i="12"/>
  <c r="I25" i="12"/>
  <c r="I24" i="12"/>
  <c r="I23" i="12"/>
  <c r="I22" i="12"/>
  <c r="I12" i="12"/>
  <c r="I11" i="12"/>
  <c r="I10" i="12"/>
  <c r="I9" i="12"/>
  <c r="I8" i="12"/>
  <c r="I7" i="12"/>
  <c r="I6" i="12"/>
  <c r="I5" i="12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" i="58"/>
  <c r="I5" i="58"/>
  <c r="I4" i="58"/>
  <c r="I21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14" i="34"/>
  <c r="G10" i="34"/>
  <c r="H7" i="17"/>
  <c r="H6" i="17"/>
  <c r="H6" i="1"/>
  <c r="H5" i="1"/>
  <c r="H4" i="1"/>
  <c r="J11" i="47"/>
  <c r="G4" i="1"/>
  <c r="J22" i="1" l="1"/>
  <c r="G13" i="47"/>
  <c r="I22" i="1"/>
  <c r="G14" i="47"/>
  <c r="J30" i="12"/>
  <c r="K13" i="47"/>
  <c r="F4" i="1"/>
  <c r="G28" i="1"/>
  <c r="I22" i="47"/>
  <c r="F22" i="47"/>
  <c r="E22" i="47"/>
  <c r="D22" i="47"/>
  <c r="C22" i="47"/>
  <c r="F13" i="17"/>
  <c r="F12" i="17"/>
  <c r="F28" i="10"/>
  <c r="F28" i="58"/>
  <c r="F28" i="6"/>
  <c r="F28" i="5"/>
  <c r="F28" i="3"/>
  <c r="F28" i="1"/>
  <c r="G22" i="47" l="1"/>
  <c r="I20" i="47"/>
  <c r="F20" i="47"/>
  <c r="E20" i="47"/>
  <c r="D20" i="47"/>
  <c r="C20" i="47"/>
  <c r="D13" i="17"/>
  <c r="D12" i="17"/>
  <c r="D28" i="10"/>
  <c r="D28" i="58"/>
  <c r="D28" i="6"/>
  <c r="D28" i="5"/>
  <c r="D28" i="4"/>
  <c r="D28" i="3"/>
  <c r="D28" i="2"/>
  <c r="D28" i="1"/>
  <c r="J9" i="47"/>
  <c r="F9" i="47"/>
  <c r="E9" i="47"/>
  <c r="D9" i="47"/>
  <c r="C9" i="47"/>
  <c r="D34" i="34"/>
  <c r="D33" i="34"/>
  <c r="D32" i="34"/>
  <c r="D30" i="34"/>
  <c r="D29" i="34"/>
  <c r="D28" i="34"/>
  <c r="D26" i="34"/>
  <c r="D25" i="34"/>
  <c r="D24" i="34"/>
  <c r="D22" i="34"/>
  <c r="D21" i="34"/>
  <c r="D20" i="34"/>
  <c r="D18" i="34"/>
  <c r="D17" i="34"/>
  <c r="D16" i="34"/>
  <c r="D14" i="34"/>
  <c r="D13" i="34"/>
  <c r="D12" i="34"/>
  <c r="D10" i="34"/>
  <c r="D9" i="34"/>
  <c r="D8" i="34"/>
  <c r="D6" i="34"/>
  <c r="D5" i="34"/>
  <c r="D4" i="34"/>
  <c r="E7" i="17"/>
  <c r="E6" i="17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8" i="29"/>
  <c r="E27" i="29"/>
  <c r="E26" i="29"/>
  <c r="E25" i="29"/>
  <c r="E24" i="29"/>
  <c r="E23" i="29"/>
  <c r="E22" i="29"/>
  <c r="E21" i="29"/>
  <c r="E12" i="29"/>
  <c r="E11" i="29"/>
  <c r="E10" i="29"/>
  <c r="E9" i="29"/>
  <c r="E8" i="29"/>
  <c r="E7" i="29"/>
  <c r="E6" i="29"/>
  <c r="E5" i="29"/>
  <c r="E29" i="30"/>
  <c r="E28" i="30"/>
  <c r="E27" i="30"/>
  <c r="E26" i="30"/>
  <c r="E25" i="30"/>
  <c r="E24" i="30"/>
  <c r="E23" i="30"/>
  <c r="E22" i="30"/>
  <c r="E12" i="30"/>
  <c r="E11" i="30"/>
  <c r="E10" i="30"/>
  <c r="E9" i="30"/>
  <c r="E8" i="30"/>
  <c r="E7" i="30"/>
  <c r="E6" i="30"/>
  <c r="E5" i="30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28" i="53"/>
  <c r="E27" i="53"/>
  <c r="E26" i="53"/>
  <c r="E25" i="53"/>
  <c r="E24" i="53"/>
  <c r="E23" i="53"/>
  <c r="E22" i="53"/>
  <c r="E21" i="53"/>
  <c r="E12" i="53"/>
  <c r="E11" i="53"/>
  <c r="E10" i="53"/>
  <c r="E9" i="53"/>
  <c r="E8" i="53"/>
  <c r="E7" i="53"/>
  <c r="E6" i="53"/>
  <c r="E5" i="53"/>
  <c r="E29" i="12"/>
  <c r="E28" i="12"/>
  <c r="E27" i="12"/>
  <c r="E26" i="12"/>
  <c r="E25" i="12"/>
  <c r="E24" i="12"/>
  <c r="E23" i="12"/>
  <c r="E22" i="12"/>
  <c r="E12" i="12"/>
  <c r="E11" i="12"/>
  <c r="E10" i="12"/>
  <c r="E9" i="12"/>
  <c r="E8" i="12"/>
  <c r="E7" i="12"/>
  <c r="E6" i="12"/>
  <c r="E5" i="12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E7" i="58"/>
  <c r="E6" i="58"/>
  <c r="E5" i="58"/>
  <c r="E4" i="58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1" i="1"/>
  <c r="E20" i="1"/>
  <c r="E19" i="1"/>
  <c r="E18" i="1"/>
  <c r="E17" i="1"/>
  <c r="E16" i="1"/>
  <c r="E15" i="1"/>
  <c r="E14" i="1"/>
  <c r="E13" i="1"/>
  <c r="E12" i="1"/>
  <c r="J8" i="47"/>
  <c r="F8" i="47"/>
  <c r="E8" i="47"/>
  <c r="D8" i="47"/>
  <c r="C8" i="47"/>
  <c r="C34" i="34"/>
  <c r="C33" i="34"/>
  <c r="C32" i="34"/>
  <c r="C30" i="34"/>
  <c r="C29" i="34"/>
  <c r="C28" i="34"/>
  <c r="C26" i="34"/>
  <c r="C25" i="34"/>
  <c r="C24" i="34"/>
  <c r="C22" i="34"/>
  <c r="C21" i="34"/>
  <c r="C20" i="34"/>
  <c r="C18" i="34"/>
  <c r="C17" i="34"/>
  <c r="C16" i="34"/>
  <c r="C14" i="34"/>
  <c r="C13" i="34"/>
  <c r="C12" i="34"/>
  <c r="C10" i="34"/>
  <c r="C9" i="34"/>
  <c r="C8" i="34"/>
  <c r="C6" i="34"/>
  <c r="C5" i="34"/>
  <c r="C4" i="34"/>
  <c r="D7" i="17"/>
  <c r="D6" i="17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8" i="29"/>
  <c r="D27" i="29"/>
  <c r="D26" i="29"/>
  <c r="D25" i="29"/>
  <c r="D24" i="29"/>
  <c r="D23" i="29"/>
  <c r="D22" i="29"/>
  <c r="D21" i="29"/>
  <c r="D12" i="29"/>
  <c r="D11" i="29"/>
  <c r="D10" i="29"/>
  <c r="D9" i="29"/>
  <c r="D8" i="29"/>
  <c r="D7" i="29"/>
  <c r="D6" i="29"/>
  <c r="D5" i="29"/>
  <c r="D29" i="30"/>
  <c r="D28" i="30"/>
  <c r="D27" i="30"/>
  <c r="D26" i="30"/>
  <c r="D25" i="30"/>
  <c r="D24" i="30"/>
  <c r="D23" i="30"/>
  <c r="D22" i="30"/>
  <c r="D12" i="30"/>
  <c r="D11" i="30"/>
  <c r="D10" i="30"/>
  <c r="D9" i="30"/>
  <c r="D8" i="30"/>
  <c r="D7" i="30"/>
  <c r="D6" i="30"/>
  <c r="D5" i="30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28" i="53"/>
  <c r="D27" i="53"/>
  <c r="D26" i="53"/>
  <c r="D25" i="53"/>
  <c r="D24" i="53"/>
  <c r="D23" i="53"/>
  <c r="D22" i="53"/>
  <c r="D21" i="53"/>
  <c r="D12" i="53"/>
  <c r="D11" i="53"/>
  <c r="D10" i="53"/>
  <c r="D9" i="53"/>
  <c r="D8" i="53"/>
  <c r="D7" i="53"/>
  <c r="D6" i="53"/>
  <c r="D5" i="53"/>
  <c r="D29" i="12"/>
  <c r="D28" i="12"/>
  <c r="D27" i="12"/>
  <c r="D26" i="12"/>
  <c r="D25" i="12"/>
  <c r="D24" i="12"/>
  <c r="D23" i="12"/>
  <c r="D22" i="12"/>
  <c r="D12" i="12"/>
  <c r="D11" i="12"/>
  <c r="D10" i="12"/>
  <c r="D9" i="12"/>
  <c r="D8" i="12"/>
  <c r="D7" i="12"/>
  <c r="D6" i="12"/>
  <c r="D5" i="12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21" i="58"/>
  <c r="D20" i="58"/>
  <c r="D19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16" i="4"/>
  <c r="D21" i="4"/>
  <c r="D20" i="4"/>
  <c r="D19" i="4"/>
  <c r="D18" i="4"/>
  <c r="D17" i="4"/>
  <c r="D15" i="4"/>
  <c r="D14" i="4"/>
  <c r="D13" i="4"/>
  <c r="D12" i="4"/>
  <c r="D11" i="4"/>
  <c r="D10" i="4"/>
  <c r="D9" i="4"/>
  <c r="D8" i="4"/>
  <c r="D7" i="4"/>
  <c r="D6" i="4"/>
  <c r="D5" i="4"/>
  <c r="D4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20" i="47" l="1"/>
  <c r="K20" i="47" s="1"/>
  <c r="G8" i="47"/>
  <c r="G9" i="47"/>
  <c r="G12" i="57"/>
  <c r="G10" i="57"/>
  <c r="G9" i="57" l="1"/>
  <c r="G11" i="57" s="1"/>
  <c r="C4" i="1" l="1"/>
  <c r="E11" i="1" l="1"/>
  <c r="E10" i="1"/>
  <c r="E9" i="1"/>
  <c r="E8" i="1"/>
  <c r="E7" i="1"/>
  <c r="E6" i="1"/>
  <c r="E5" i="1"/>
  <c r="E4" i="1"/>
  <c r="E22" i="2"/>
  <c r="F12" i="57" l="1"/>
  <c r="F10" i="57"/>
  <c r="F9" i="57"/>
  <c r="E12" i="57"/>
  <c r="E10" i="57"/>
  <c r="E9" i="57"/>
  <c r="D12" i="57"/>
  <c r="D10" i="57"/>
  <c r="D9" i="57"/>
  <c r="F11" i="57" l="1"/>
  <c r="D11" i="57"/>
  <c r="E11" i="57"/>
  <c r="K30" i="30" l="1"/>
  <c r="K13" i="30"/>
  <c r="K13" i="29"/>
  <c r="K29" i="29"/>
  <c r="K22" i="10"/>
  <c r="K29" i="53"/>
  <c r="K13" i="53"/>
  <c r="K18" i="32"/>
  <c r="K22" i="1" l="1"/>
  <c r="K13" i="12"/>
  <c r="K22" i="4"/>
  <c r="K22" i="6"/>
  <c r="K18" i="8"/>
  <c r="K22" i="3"/>
  <c r="K19" i="9"/>
  <c r="K22" i="5"/>
  <c r="K22" i="58"/>
  <c r="K30" i="12"/>
  <c r="K15" i="47" l="1"/>
  <c r="G34" i="34"/>
  <c r="G30" i="34"/>
  <c r="G26" i="34"/>
  <c r="G22" i="34"/>
  <c r="G18" i="34"/>
  <c r="J12" i="47" l="1"/>
  <c r="F12" i="47"/>
  <c r="E12" i="47"/>
  <c r="D12" i="47"/>
  <c r="C12" i="47"/>
  <c r="G33" i="34"/>
  <c r="G32" i="34"/>
  <c r="G29" i="34"/>
  <c r="G28" i="34"/>
  <c r="G25" i="34"/>
  <c r="G24" i="34"/>
  <c r="G21" i="34"/>
  <c r="G20" i="34"/>
  <c r="G17" i="34"/>
  <c r="G16" i="34"/>
  <c r="G13" i="34"/>
  <c r="G12" i="34"/>
  <c r="G9" i="34"/>
  <c r="G8" i="34"/>
  <c r="G5" i="34"/>
  <c r="G4" i="34"/>
  <c r="G12" i="47" l="1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28" i="29"/>
  <c r="H27" i="29"/>
  <c r="H26" i="29"/>
  <c r="H25" i="29"/>
  <c r="H24" i="29"/>
  <c r="H23" i="29"/>
  <c r="H22" i="29"/>
  <c r="H21" i="29"/>
  <c r="H12" i="29"/>
  <c r="H11" i="29"/>
  <c r="H10" i="29"/>
  <c r="H9" i="29"/>
  <c r="H8" i="29"/>
  <c r="H7" i="29"/>
  <c r="H6" i="29"/>
  <c r="H5" i="29"/>
  <c r="H29" i="30"/>
  <c r="H28" i="30"/>
  <c r="H27" i="30"/>
  <c r="H26" i="30"/>
  <c r="H25" i="30"/>
  <c r="H24" i="30"/>
  <c r="H23" i="30"/>
  <c r="H22" i="30"/>
  <c r="H12" i="30"/>
  <c r="H11" i="30"/>
  <c r="H10" i="30"/>
  <c r="H9" i="30"/>
  <c r="H8" i="30"/>
  <c r="H7" i="30"/>
  <c r="H6" i="30"/>
  <c r="H5" i="30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28" i="53"/>
  <c r="H27" i="53"/>
  <c r="H26" i="53"/>
  <c r="H25" i="53"/>
  <c r="H24" i="53"/>
  <c r="H23" i="53"/>
  <c r="H22" i="53"/>
  <c r="H21" i="53"/>
  <c r="H12" i="53"/>
  <c r="H11" i="53"/>
  <c r="H10" i="53"/>
  <c r="H9" i="53"/>
  <c r="H8" i="53"/>
  <c r="H7" i="53"/>
  <c r="H6" i="53"/>
  <c r="H5" i="53"/>
  <c r="H29" i="12"/>
  <c r="H28" i="12"/>
  <c r="H27" i="12"/>
  <c r="H26" i="12"/>
  <c r="H25" i="12"/>
  <c r="H24" i="12"/>
  <c r="H23" i="12"/>
  <c r="H22" i="12"/>
  <c r="H12" i="12"/>
  <c r="H11" i="12"/>
  <c r="H10" i="12"/>
  <c r="H9" i="12"/>
  <c r="H8" i="12"/>
  <c r="H7" i="12"/>
  <c r="H6" i="12"/>
  <c r="H5" i="12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C28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22" i="1" l="1"/>
  <c r="G28" i="58"/>
  <c r="C28" i="58" l="1"/>
  <c r="I28" i="58" l="1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G4" i="58"/>
  <c r="F30" i="58" l="1"/>
  <c r="M28" i="58"/>
  <c r="H30" i="58"/>
  <c r="I30" i="58"/>
  <c r="E30" i="58"/>
  <c r="D30" i="58"/>
  <c r="G30" i="58"/>
  <c r="C30" i="58"/>
  <c r="F21" i="58"/>
  <c r="F20" i="58"/>
  <c r="F19" i="58"/>
  <c r="F18" i="58"/>
  <c r="F17" i="58"/>
  <c r="F16" i="58"/>
  <c r="F15" i="58"/>
  <c r="F14" i="58"/>
  <c r="F12" i="58"/>
  <c r="F13" i="58"/>
  <c r="F11" i="58"/>
  <c r="F10" i="58"/>
  <c r="F9" i="58"/>
  <c r="F8" i="58"/>
  <c r="F7" i="58"/>
  <c r="F6" i="58"/>
  <c r="F5" i="58"/>
  <c r="F4" i="58"/>
  <c r="E22" i="58"/>
  <c r="D22" i="58"/>
  <c r="C21" i="58"/>
  <c r="N21" i="58" s="1"/>
  <c r="C20" i="58"/>
  <c r="N20" i="58" s="1"/>
  <c r="C19" i="58"/>
  <c r="N19" i="58" s="1"/>
  <c r="C18" i="58"/>
  <c r="C17" i="58"/>
  <c r="N17" i="58" s="1"/>
  <c r="C16" i="58"/>
  <c r="N16" i="58" s="1"/>
  <c r="C15" i="58"/>
  <c r="N15" i="58" s="1"/>
  <c r="C14" i="58"/>
  <c r="C13" i="58"/>
  <c r="C12" i="58"/>
  <c r="N12" i="58" s="1"/>
  <c r="C11" i="58"/>
  <c r="N11" i="58" s="1"/>
  <c r="C10" i="58"/>
  <c r="C9" i="58"/>
  <c r="N9" i="58" s="1"/>
  <c r="C8" i="58"/>
  <c r="N8" i="58" s="1"/>
  <c r="C7" i="58"/>
  <c r="N7" i="58" s="1"/>
  <c r="C6" i="58"/>
  <c r="C5" i="58"/>
  <c r="N5" i="58" s="1"/>
  <c r="C4" i="58"/>
  <c r="N4" i="58" s="1"/>
  <c r="J22" i="58"/>
  <c r="N13" i="58" l="1"/>
  <c r="N18" i="58"/>
  <c r="N6" i="58"/>
  <c r="N10" i="58"/>
  <c r="N14" i="58"/>
  <c r="I22" i="58"/>
  <c r="H22" i="58"/>
  <c r="L22" i="58"/>
  <c r="G22" i="58"/>
  <c r="F22" i="58"/>
  <c r="C22" i="58"/>
  <c r="N22" i="58" l="1"/>
  <c r="F11" i="47"/>
  <c r="E11" i="47"/>
  <c r="D11" i="47"/>
  <c r="C11" i="47"/>
  <c r="F34" i="34"/>
  <c r="F33" i="34"/>
  <c r="F32" i="34"/>
  <c r="F30" i="34"/>
  <c r="F29" i="34"/>
  <c r="F28" i="34"/>
  <c r="F26" i="34"/>
  <c r="F25" i="34"/>
  <c r="F24" i="34"/>
  <c r="F22" i="34"/>
  <c r="F21" i="34"/>
  <c r="F20" i="34"/>
  <c r="F18" i="34"/>
  <c r="F17" i="34"/>
  <c r="F16" i="34"/>
  <c r="F14" i="34"/>
  <c r="F13" i="34"/>
  <c r="F12" i="34"/>
  <c r="F10" i="34"/>
  <c r="F9" i="34"/>
  <c r="F8" i="34"/>
  <c r="F6" i="34"/>
  <c r="F5" i="34"/>
  <c r="F4" i="34"/>
  <c r="G7" i="17"/>
  <c r="G6" i="17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28" i="29"/>
  <c r="G27" i="29"/>
  <c r="G26" i="29"/>
  <c r="G25" i="29"/>
  <c r="G24" i="29"/>
  <c r="G23" i="29"/>
  <c r="G22" i="29"/>
  <c r="G21" i="29"/>
  <c r="G12" i="29"/>
  <c r="G11" i="29"/>
  <c r="G10" i="29"/>
  <c r="G9" i="29"/>
  <c r="G8" i="29"/>
  <c r="G7" i="29"/>
  <c r="G6" i="29"/>
  <c r="G5" i="29"/>
  <c r="G29" i="30"/>
  <c r="G28" i="30"/>
  <c r="G27" i="30"/>
  <c r="G26" i="30"/>
  <c r="G25" i="30"/>
  <c r="G24" i="30"/>
  <c r="G23" i="30"/>
  <c r="G22" i="30"/>
  <c r="G12" i="30"/>
  <c r="G11" i="30"/>
  <c r="G10" i="30"/>
  <c r="G9" i="30"/>
  <c r="G8" i="30"/>
  <c r="G7" i="30"/>
  <c r="G6" i="30"/>
  <c r="G5" i="30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28" i="53"/>
  <c r="G27" i="53"/>
  <c r="G26" i="53"/>
  <c r="G25" i="53"/>
  <c r="G24" i="53"/>
  <c r="G23" i="53"/>
  <c r="G22" i="53"/>
  <c r="G21" i="53"/>
  <c r="G12" i="53"/>
  <c r="G11" i="53"/>
  <c r="G10" i="53"/>
  <c r="G9" i="53"/>
  <c r="G8" i="53"/>
  <c r="G7" i="53"/>
  <c r="G6" i="53"/>
  <c r="G5" i="53"/>
  <c r="G29" i="12"/>
  <c r="G28" i="12"/>
  <c r="G27" i="12"/>
  <c r="G26" i="12"/>
  <c r="G25" i="12"/>
  <c r="G24" i="12"/>
  <c r="G23" i="12"/>
  <c r="G22" i="12"/>
  <c r="G12" i="12"/>
  <c r="G11" i="12"/>
  <c r="G10" i="12"/>
  <c r="G9" i="12"/>
  <c r="G8" i="12"/>
  <c r="G7" i="12"/>
  <c r="G6" i="12"/>
  <c r="G5" i="12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17" i="8"/>
  <c r="G16" i="8"/>
  <c r="G15" i="8"/>
  <c r="G14" i="8"/>
  <c r="G13" i="8"/>
  <c r="G12" i="8"/>
  <c r="G11" i="8"/>
  <c r="G10" i="8"/>
  <c r="G9" i="8"/>
  <c r="G8" i="8"/>
  <c r="G7" i="8"/>
  <c r="G6" i="8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6" i="1"/>
  <c r="G5" i="1"/>
  <c r="G22" i="1" l="1"/>
  <c r="J24" i="58"/>
  <c r="M24" i="58"/>
  <c r="I24" i="58"/>
  <c r="D24" i="58"/>
  <c r="C24" i="58"/>
  <c r="E24" i="58"/>
  <c r="G24" i="58"/>
  <c r="F24" i="58"/>
  <c r="H24" i="58"/>
  <c r="K24" i="58"/>
  <c r="L24" i="58"/>
  <c r="M27" i="58"/>
  <c r="M29" i="58" s="1"/>
  <c r="N29" i="58" s="1"/>
  <c r="G11" i="47"/>
  <c r="N24" i="58" l="1"/>
  <c r="N27" i="58"/>
  <c r="N28" i="58"/>
  <c r="E22" i="1" l="1"/>
  <c r="E22" i="5"/>
  <c r="I22" i="4" l="1"/>
  <c r="I22" i="6"/>
  <c r="I22" i="3"/>
  <c r="I22" i="5"/>
  <c r="H22" i="3" l="1"/>
  <c r="H30" i="12"/>
  <c r="K16" i="47" l="1"/>
  <c r="N4" i="1" l="1"/>
  <c r="J10" i="47"/>
  <c r="F10" i="47"/>
  <c r="E10" i="47"/>
  <c r="D10" i="47"/>
  <c r="C10" i="47"/>
  <c r="E34" i="34"/>
  <c r="E33" i="34"/>
  <c r="E32" i="34"/>
  <c r="E30" i="34"/>
  <c r="E29" i="34"/>
  <c r="E28" i="34"/>
  <c r="E26" i="34"/>
  <c r="E25" i="34"/>
  <c r="E24" i="34"/>
  <c r="E22" i="34"/>
  <c r="E21" i="34"/>
  <c r="E20" i="34"/>
  <c r="E18" i="34"/>
  <c r="E17" i="34"/>
  <c r="E16" i="34"/>
  <c r="E14" i="34"/>
  <c r="E13" i="34"/>
  <c r="E12" i="34"/>
  <c r="E10" i="34"/>
  <c r="E9" i="34"/>
  <c r="E8" i="34"/>
  <c r="E6" i="34"/>
  <c r="E5" i="34"/>
  <c r="E4" i="34"/>
  <c r="F7" i="17"/>
  <c r="F6" i="17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N7" i="10" s="1"/>
  <c r="F6" i="10"/>
  <c r="F5" i="10"/>
  <c r="F4" i="10"/>
  <c r="F28" i="29"/>
  <c r="F27" i="29"/>
  <c r="F26" i="29"/>
  <c r="F25" i="29"/>
  <c r="F24" i="29"/>
  <c r="F23" i="29"/>
  <c r="F22" i="29"/>
  <c r="F21" i="29"/>
  <c r="F12" i="29"/>
  <c r="F11" i="29"/>
  <c r="F10" i="29"/>
  <c r="F9" i="29"/>
  <c r="F8" i="29"/>
  <c r="F7" i="29"/>
  <c r="F6" i="29"/>
  <c r="F5" i="29"/>
  <c r="F29" i="30"/>
  <c r="F28" i="30"/>
  <c r="F27" i="30"/>
  <c r="F26" i="30"/>
  <c r="F25" i="30"/>
  <c r="F24" i="30"/>
  <c r="F23" i="30"/>
  <c r="F22" i="30"/>
  <c r="F12" i="30"/>
  <c r="F11" i="30"/>
  <c r="F10" i="30"/>
  <c r="F9" i="30"/>
  <c r="F8" i="30"/>
  <c r="F7" i="30"/>
  <c r="F6" i="30"/>
  <c r="F5" i="30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28" i="53"/>
  <c r="F27" i="53"/>
  <c r="F26" i="53"/>
  <c r="F25" i="53"/>
  <c r="F24" i="53"/>
  <c r="F23" i="53"/>
  <c r="F22" i="53"/>
  <c r="F21" i="53"/>
  <c r="F12" i="53"/>
  <c r="F11" i="53"/>
  <c r="F10" i="53"/>
  <c r="F9" i="53"/>
  <c r="F8" i="53"/>
  <c r="F7" i="53"/>
  <c r="F6" i="53"/>
  <c r="F5" i="53"/>
  <c r="F29" i="12"/>
  <c r="F28" i="12"/>
  <c r="F27" i="12"/>
  <c r="F26" i="12"/>
  <c r="F25" i="12"/>
  <c r="F24" i="12"/>
  <c r="F23" i="12"/>
  <c r="F22" i="12"/>
  <c r="F12" i="12"/>
  <c r="F11" i="12"/>
  <c r="F10" i="12"/>
  <c r="F9" i="12"/>
  <c r="F8" i="12"/>
  <c r="F7" i="12"/>
  <c r="F6" i="12"/>
  <c r="F5" i="12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0" i="30" l="1"/>
  <c r="F22" i="1"/>
  <c r="F22" i="3"/>
  <c r="G10" i="47"/>
  <c r="K8" i="47" l="1"/>
  <c r="J7" i="47"/>
  <c r="J6" i="47" s="1"/>
  <c r="F7" i="47"/>
  <c r="F6" i="47" s="1"/>
  <c r="E7" i="47"/>
  <c r="E6" i="47" s="1"/>
  <c r="D7" i="47"/>
  <c r="D6" i="47" s="1"/>
  <c r="C7" i="47"/>
  <c r="C6" i="47" s="1"/>
  <c r="B34" i="34"/>
  <c r="M34" i="34" s="1"/>
  <c r="B33" i="34"/>
  <c r="M33" i="34" s="1"/>
  <c r="B32" i="34"/>
  <c r="M32" i="34" s="1"/>
  <c r="B30" i="34"/>
  <c r="M30" i="34" s="1"/>
  <c r="B29" i="34"/>
  <c r="M29" i="34" s="1"/>
  <c r="B28" i="34"/>
  <c r="M28" i="34" s="1"/>
  <c r="B26" i="34"/>
  <c r="M26" i="34" s="1"/>
  <c r="B25" i="34"/>
  <c r="M25" i="34" s="1"/>
  <c r="B24" i="34"/>
  <c r="M24" i="34" s="1"/>
  <c r="B22" i="34"/>
  <c r="M22" i="34" s="1"/>
  <c r="B21" i="34"/>
  <c r="M21" i="34" s="1"/>
  <c r="B20" i="34"/>
  <c r="M20" i="34" s="1"/>
  <c r="B18" i="34"/>
  <c r="M18" i="34" s="1"/>
  <c r="B17" i="34"/>
  <c r="M17" i="34" s="1"/>
  <c r="B16" i="34"/>
  <c r="M16" i="34" s="1"/>
  <c r="B14" i="34"/>
  <c r="M14" i="34" s="1"/>
  <c r="B13" i="34"/>
  <c r="M13" i="34" s="1"/>
  <c r="B12" i="34"/>
  <c r="M12" i="34" s="1"/>
  <c r="B10" i="34"/>
  <c r="M10" i="34" s="1"/>
  <c r="B9" i="34"/>
  <c r="M9" i="34" s="1"/>
  <c r="B8" i="34"/>
  <c r="M8" i="34" s="1"/>
  <c r="B6" i="34"/>
  <c r="M6" i="34" s="1"/>
  <c r="B5" i="34"/>
  <c r="M5" i="34" s="1"/>
  <c r="B4" i="34"/>
  <c r="M4" i="34" s="1"/>
  <c r="C7" i="17"/>
  <c r="N7" i="17" s="1"/>
  <c r="C6" i="17"/>
  <c r="N6" i="17" s="1"/>
  <c r="C21" i="10"/>
  <c r="N21" i="10" s="1"/>
  <c r="C20" i="10"/>
  <c r="N20" i="10" s="1"/>
  <c r="C19" i="10"/>
  <c r="N19" i="10" s="1"/>
  <c r="C18" i="10"/>
  <c r="N18" i="10" s="1"/>
  <c r="C17" i="10"/>
  <c r="N17" i="10" s="1"/>
  <c r="C16" i="10"/>
  <c r="N16" i="10" s="1"/>
  <c r="C15" i="10"/>
  <c r="N15" i="10" s="1"/>
  <c r="C14" i="10"/>
  <c r="N14" i="10" s="1"/>
  <c r="C13" i="10"/>
  <c r="N13" i="10" s="1"/>
  <c r="C12" i="10"/>
  <c r="N12" i="10" s="1"/>
  <c r="C11" i="10"/>
  <c r="N11" i="10" s="1"/>
  <c r="C10" i="10"/>
  <c r="N10" i="10" s="1"/>
  <c r="C9" i="10"/>
  <c r="N9" i="10" s="1"/>
  <c r="C8" i="10"/>
  <c r="N8" i="10" s="1"/>
  <c r="C6" i="10"/>
  <c r="N6" i="10" s="1"/>
  <c r="C5" i="10"/>
  <c r="N5" i="10" s="1"/>
  <c r="C4" i="10"/>
  <c r="N4" i="10" s="1"/>
  <c r="C28" i="29"/>
  <c r="N28" i="29" s="1"/>
  <c r="C27" i="29"/>
  <c r="N27" i="29" s="1"/>
  <c r="C26" i="29"/>
  <c r="N26" i="29" s="1"/>
  <c r="C25" i="29"/>
  <c r="N25" i="29" s="1"/>
  <c r="C24" i="29"/>
  <c r="N24" i="29" s="1"/>
  <c r="C23" i="29"/>
  <c r="N23" i="29" s="1"/>
  <c r="C22" i="29"/>
  <c r="N22" i="29" s="1"/>
  <c r="C21" i="29"/>
  <c r="N21" i="29" s="1"/>
  <c r="C12" i="29"/>
  <c r="N12" i="29" s="1"/>
  <c r="C11" i="29"/>
  <c r="N11" i="29" s="1"/>
  <c r="C10" i="29"/>
  <c r="N10" i="29" s="1"/>
  <c r="C9" i="29"/>
  <c r="N9" i="29" s="1"/>
  <c r="C8" i="29"/>
  <c r="N8" i="29" s="1"/>
  <c r="C7" i="29"/>
  <c r="N7" i="29" s="1"/>
  <c r="C6" i="29"/>
  <c r="N6" i="29" s="1"/>
  <c r="C5" i="29"/>
  <c r="N5" i="29" s="1"/>
  <c r="C29" i="30"/>
  <c r="N29" i="30" s="1"/>
  <c r="C28" i="30"/>
  <c r="N28" i="30" s="1"/>
  <c r="C27" i="30"/>
  <c r="N27" i="30" s="1"/>
  <c r="C26" i="30"/>
  <c r="N26" i="30" s="1"/>
  <c r="C25" i="30"/>
  <c r="N25" i="30" s="1"/>
  <c r="C24" i="30"/>
  <c r="N24" i="30" s="1"/>
  <c r="C23" i="30"/>
  <c r="N23" i="30" s="1"/>
  <c r="C22" i="30"/>
  <c r="N22" i="30" s="1"/>
  <c r="C12" i="30"/>
  <c r="N12" i="30" s="1"/>
  <c r="C11" i="30"/>
  <c r="N11" i="30" s="1"/>
  <c r="C10" i="30"/>
  <c r="N10" i="30" s="1"/>
  <c r="C9" i="30"/>
  <c r="N9" i="30" s="1"/>
  <c r="C8" i="30"/>
  <c r="N8" i="30" s="1"/>
  <c r="C7" i="30"/>
  <c r="N7" i="30" s="1"/>
  <c r="C6" i="30"/>
  <c r="N6" i="30" s="1"/>
  <c r="C5" i="30"/>
  <c r="N5" i="30" s="1"/>
  <c r="C17" i="31"/>
  <c r="N17" i="31" s="1"/>
  <c r="C16" i="31"/>
  <c r="N16" i="31" s="1"/>
  <c r="C15" i="31"/>
  <c r="N15" i="31" s="1"/>
  <c r="C14" i="31"/>
  <c r="N14" i="31" s="1"/>
  <c r="C13" i="31"/>
  <c r="N13" i="31" s="1"/>
  <c r="C12" i="31"/>
  <c r="N12" i="31" s="1"/>
  <c r="C11" i="31"/>
  <c r="N11" i="31" s="1"/>
  <c r="C10" i="31"/>
  <c r="N10" i="31" s="1"/>
  <c r="C9" i="31"/>
  <c r="N9" i="31" s="1"/>
  <c r="C8" i="31"/>
  <c r="N8" i="31" s="1"/>
  <c r="C7" i="31"/>
  <c r="N7" i="31" s="1"/>
  <c r="C6" i="31"/>
  <c r="N6" i="31" s="1"/>
  <c r="C5" i="31"/>
  <c r="N5" i="31" s="1"/>
  <c r="C17" i="32"/>
  <c r="N17" i="32" s="1"/>
  <c r="C16" i="32"/>
  <c r="N16" i="32" s="1"/>
  <c r="C15" i="32"/>
  <c r="N15" i="32" s="1"/>
  <c r="C14" i="32"/>
  <c r="N14" i="32" s="1"/>
  <c r="C13" i="32"/>
  <c r="N13" i="32" s="1"/>
  <c r="C12" i="32"/>
  <c r="N12" i="32" s="1"/>
  <c r="C11" i="32"/>
  <c r="N11" i="32" s="1"/>
  <c r="C10" i="32"/>
  <c r="N10" i="32" s="1"/>
  <c r="C9" i="32"/>
  <c r="N9" i="32" s="1"/>
  <c r="C8" i="32"/>
  <c r="N8" i="32" s="1"/>
  <c r="C7" i="32"/>
  <c r="N7" i="32" s="1"/>
  <c r="C6" i="32"/>
  <c r="N6" i="32" s="1"/>
  <c r="C5" i="32"/>
  <c r="N5" i="32" s="1"/>
  <c r="C28" i="53"/>
  <c r="N28" i="53" s="1"/>
  <c r="C27" i="53"/>
  <c r="N27" i="53" s="1"/>
  <c r="C26" i="53"/>
  <c r="N26" i="53" s="1"/>
  <c r="C25" i="53"/>
  <c r="N25" i="53" s="1"/>
  <c r="C24" i="53"/>
  <c r="N24" i="53" s="1"/>
  <c r="C23" i="53"/>
  <c r="N23" i="53" s="1"/>
  <c r="C22" i="53"/>
  <c r="N22" i="53" s="1"/>
  <c r="C21" i="53"/>
  <c r="N21" i="53" s="1"/>
  <c r="C12" i="53"/>
  <c r="N12" i="53" s="1"/>
  <c r="C11" i="53"/>
  <c r="N11" i="53" s="1"/>
  <c r="C10" i="53"/>
  <c r="N10" i="53" s="1"/>
  <c r="C9" i="53"/>
  <c r="N9" i="53" s="1"/>
  <c r="C8" i="53"/>
  <c r="N8" i="53" s="1"/>
  <c r="C7" i="53"/>
  <c r="N7" i="53" s="1"/>
  <c r="C6" i="53"/>
  <c r="N6" i="53" s="1"/>
  <c r="C5" i="53"/>
  <c r="N5" i="53" s="1"/>
  <c r="C29" i="12"/>
  <c r="N29" i="12" s="1"/>
  <c r="C28" i="12"/>
  <c r="N28" i="12" s="1"/>
  <c r="C27" i="12"/>
  <c r="N27" i="12" s="1"/>
  <c r="C26" i="12"/>
  <c r="N26" i="12" s="1"/>
  <c r="C25" i="12"/>
  <c r="N25" i="12" s="1"/>
  <c r="C24" i="12"/>
  <c r="N24" i="12" s="1"/>
  <c r="C23" i="12"/>
  <c r="N23" i="12" s="1"/>
  <c r="C22" i="12"/>
  <c r="N22" i="12" s="1"/>
  <c r="C12" i="12"/>
  <c r="N12" i="12" s="1"/>
  <c r="C11" i="12"/>
  <c r="N11" i="12" s="1"/>
  <c r="C10" i="12"/>
  <c r="N10" i="12" s="1"/>
  <c r="C9" i="12"/>
  <c r="N9" i="12" s="1"/>
  <c r="C8" i="12"/>
  <c r="N8" i="12" s="1"/>
  <c r="C7" i="12"/>
  <c r="N7" i="12" s="1"/>
  <c r="C6" i="12"/>
  <c r="N6" i="12" s="1"/>
  <c r="C5" i="12"/>
  <c r="N5" i="12" s="1"/>
  <c r="C18" i="9"/>
  <c r="N18" i="9" s="1"/>
  <c r="C17" i="9"/>
  <c r="N17" i="9" s="1"/>
  <c r="C16" i="9"/>
  <c r="N16" i="9" s="1"/>
  <c r="C15" i="9"/>
  <c r="N15" i="9" s="1"/>
  <c r="C14" i="9"/>
  <c r="N14" i="9" s="1"/>
  <c r="C13" i="9"/>
  <c r="N13" i="9" s="1"/>
  <c r="C12" i="9"/>
  <c r="N12" i="9" s="1"/>
  <c r="C11" i="9"/>
  <c r="N11" i="9" s="1"/>
  <c r="C10" i="9"/>
  <c r="N10" i="9" s="1"/>
  <c r="C9" i="9"/>
  <c r="N9" i="9" s="1"/>
  <c r="C8" i="9"/>
  <c r="N8" i="9" s="1"/>
  <c r="C7" i="9"/>
  <c r="N7" i="9" s="1"/>
  <c r="C6" i="9"/>
  <c r="N6" i="9" s="1"/>
  <c r="C17" i="8"/>
  <c r="N17" i="8" s="1"/>
  <c r="C16" i="8"/>
  <c r="N16" i="8" s="1"/>
  <c r="C15" i="8"/>
  <c r="N15" i="8" s="1"/>
  <c r="C14" i="8"/>
  <c r="N14" i="8" s="1"/>
  <c r="C13" i="8"/>
  <c r="N13" i="8" s="1"/>
  <c r="C12" i="8"/>
  <c r="N12" i="8" s="1"/>
  <c r="C11" i="8"/>
  <c r="N11" i="8" s="1"/>
  <c r="C10" i="8"/>
  <c r="N10" i="8" s="1"/>
  <c r="C9" i="8"/>
  <c r="N9" i="8" s="1"/>
  <c r="C8" i="8"/>
  <c r="N8" i="8" s="1"/>
  <c r="C7" i="8"/>
  <c r="N7" i="8" s="1"/>
  <c r="C6" i="8"/>
  <c r="N6" i="8" s="1"/>
  <c r="C5" i="8"/>
  <c r="N5" i="8" s="1"/>
  <c r="C21" i="6"/>
  <c r="N21" i="6" s="1"/>
  <c r="C20" i="6"/>
  <c r="N20" i="6" s="1"/>
  <c r="C19" i="6"/>
  <c r="N19" i="6" s="1"/>
  <c r="C18" i="6"/>
  <c r="N18" i="6" s="1"/>
  <c r="C17" i="6"/>
  <c r="N17" i="6" s="1"/>
  <c r="C16" i="6"/>
  <c r="N16" i="6" s="1"/>
  <c r="C15" i="6"/>
  <c r="N15" i="6" s="1"/>
  <c r="C14" i="6"/>
  <c r="N14" i="6" s="1"/>
  <c r="C13" i="6"/>
  <c r="N13" i="6" s="1"/>
  <c r="C12" i="6"/>
  <c r="N12" i="6" s="1"/>
  <c r="C11" i="6"/>
  <c r="N11" i="6" s="1"/>
  <c r="C10" i="6"/>
  <c r="N10" i="6" s="1"/>
  <c r="C9" i="6"/>
  <c r="N9" i="6" s="1"/>
  <c r="C8" i="6"/>
  <c r="N8" i="6" s="1"/>
  <c r="C7" i="6"/>
  <c r="N7" i="6" s="1"/>
  <c r="C6" i="6"/>
  <c r="N6" i="6" s="1"/>
  <c r="C5" i="6"/>
  <c r="N5" i="6" s="1"/>
  <c r="C4" i="6"/>
  <c r="N4" i="6" s="1"/>
  <c r="C21" i="5"/>
  <c r="N21" i="5" s="1"/>
  <c r="C20" i="5"/>
  <c r="N20" i="5" s="1"/>
  <c r="C19" i="5"/>
  <c r="N19" i="5" s="1"/>
  <c r="C18" i="5"/>
  <c r="N18" i="5" s="1"/>
  <c r="C17" i="5"/>
  <c r="N17" i="5" s="1"/>
  <c r="C16" i="5"/>
  <c r="N16" i="5" s="1"/>
  <c r="C15" i="5"/>
  <c r="N15" i="5" s="1"/>
  <c r="C14" i="5"/>
  <c r="N14" i="5" s="1"/>
  <c r="C13" i="5"/>
  <c r="N13" i="5" s="1"/>
  <c r="C12" i="5"/>
  <c r="N12" i="5" s="1"/>
  <c r="C11" i="5"/>
  <c r="N11" i="5" s="1"/>
  <c r="C10" i="5"/>
  <c r="N10" i="5" s="1"/>
  <c r="C9" i="5"/>
  <c r="N9" i="5" s="1"/>
  <c r="C8" i="5"/>
  <c r="N8" i="5" s="1"/>
  <c r="C7" i="5"/>
  <c r="N7" i="5" s="1"/>
  <c r="C6" i="5"/>
  <c r="N6" i="5" s="1"/>
  <c r="C5" i="5"/>
  <c r="N5" i="5" s="1"/>
  <c r="C4" i="5"/>
  <c r="N4" i="5" s="1"/>
  <c r="C21" i="4"/>
  <c r="N21" i="4" s="1"/>
  <c r="C20" i="4"/>
  <c r="N20" i="4" s="1"/>
  <c r="C19" i="4"/>
  <c r="N19" i="4" s="1"/>
  <c r="C18" i="4"/>
  <c r="N18" i="4" s="1"/>
  <c r="C17" i="4"/>
  <c r="N17" i="4" s="1"/>
  <c r="C16" i="4"/>
  <c r="N16" i="4" s="1"/>
  <c r="C15" i="4"/>
  <c r="N15" i="4" s="1"/>
  <c r="C14" i="4"/>
  <c r="N14" i="4" s="1"/>
  <c r="C13" i="4"/>
  <c r="N13" i="4" s="1"/>
  <c r="C12" i="4"/>
  <c r="N12" i="4" s="1"/>
  <c r="C11" i="4"/>
  <c r="N11" i="4" s="1"/>
  <c r="C10" i="4"/>
  <c r="N10" i="4" s="1"/>
  <c r="C9" i="4"/>
  <c r="N9" i="4" s="1"/>
  <c r="C8" i="4"/>
  <c r="N8" i="4" s="1"/>
  <c r="C7" i="4"/>
  <c r="N7" i="4" s="1"/>
  <c r="C6" i="4"/>
  <c r="N6" i="4" s="1"/>
  <c r="C5" i="4"/>
  <c r="N5" i="4" s="1"/>
  <c r="C4" i="4"/>
  <c r="N4" i="4" s="1"/>
  <c r="C21" i="3"/>
  <c r="N21" i="3" s="1"/>
  <c r="C20" i="3"/>
  <c r="N20" i="3" s="1"/>
  <c r="C19" i="3"/>
  <c r="N19" i="3" s="1"/>
  <c r="C18" i="3"/>
  <c r="N18" i="3" s="1"/>
  <c r="C17" i="3"/>
  <c r="N17" i="3" s="1"/>
  <c r="C16" i="3"/>
  <c r="N16" i="3" s="1"/>
  <c r="C15" i="3"/>
  <c r="N15" i="3" s="1"/>
  <c r="C14" i="3"/>
  <c r="N14" i="3" s="1"/>
  <c r="C13" i="3"/>
  <c r="N13" i="3" s="1"/>
  <c r="C12" i="3"/>
  <c r="N12" i="3" s="1"/>
  <c r="C11" i="3"/>
  <c r="N11" i="3" s="1"/>
  <c r="C10" i="3"/>
  <c r="N10" i="3" s="1"/>
  <c r="C9" i="3"/>
  <c r="N9" i="3" s="1"/>
  <c r="C8" i="3"/>
  <c r="N8" i="3" s="1"/>
  <c r="C7" i="3"/>
  <c r="N7" i="3" s="1"/>
  <c r="C6" i="3"/>
  <c r="N6" i="3" s="1"/>
  <c r="C5" i="3"/>
  <c r="N5" i="3" s="1"/>
  <c r="C4" i="3"/>
  <c r="N4" i="3" s="1"/>
  <c r="C22" i="2"/>
  <c r="N22" i="2" s="1"/>
  <c r="M24" i="2" s="1"/>
  <c r="C21" i="2"/>
  <c r="N21" i="2" s="1"/>
  <c r="C20" i="2"/>
  <c r="N20" i="2" s="1"/>
  <c r="C19" i="2"/>
  <c r="N19" i="2" s="1"/>
  <c r="C18" i="2"/>
  <c r="N18" i="2" s="1"/>
  <c r="C17" i="2"/>
  <c r="N17" i="2" s="1"/>
  <c r="C16" i="2"/>
  <c r="N16" i="2" s="1"/>
  <c r="C15" i="2"/>
  <c r="N15" i="2" s="1"/>
  <c r="C14" i="2"/>
  <c r="N14" i="2" s="1"/>
  <c r="C13" i="2"/>
  <c r="N13" i="2" s="1"/>
  <c r="C12" i="2"/>
  <c r="N12" i="2" s="1"/>
  <c r="C11" i="2"/>
  <c r="N11" i="2" s="1"/>
  <c r="C10" i="2"/>
  <c r="N10" i="2" s="1"/>
  <c r="C9" i="2"/>
  <c r="N9" i="2" s="1"/>
  <c r="C8" i="2"/>
  <c r="N8" i="2" s="1"/>
  <c r="C7" i="2"/>
  <c r="N7" i="2" s="1"/>
  <c r="C6" i="2"/>
  <c r="N6" i="2" s="1"/>
  <c r="C5" i="2"/>
  <c r="N5" i="2" s="1"/>
  <c r="C4" i="2"/>
  <c r="N4" i="2" s="1"/>
  <c r="C21" i="1"/>
  <c r="N21" i="1" s="1"/>
  <c r="C20" i="1"/>
  <c r="N20" i="1" s="1"/>
  <c r="C19" i="1"/>
  <c r="N19" i="1" s="1"/>
  <c r="C18" i="1"/>
  <c r="N18" i="1" s="1"/>
  <c r="C17" i="1"/>
  <c r="N17" i="1" s="1"/>
  <c r="C16" i="1"/>
  <c r="N16" i="1" s="1"/>
  <c r="C15" i="1"/>
  <c r="N15" i="1" s="1"/>
  <c r="C14" i="1"/>
  <c r="N14" i="1" s="1"/>
  <c r="C13" i="1"/>
  <c r="N13" i="1" s="1"/>
  <c r="C12" i="1"/>
  <c r="N12" i="1" s="1"/>
  <c r="C11" i="1"/>
  <c r="N11" i="1" s="1"/>
  <c r="C10" i="1"/>
  <c r="N10" i="1" s="1"/>
  <c r="C9" i="1"/>
  <c r="N9" i="1" s="1"/>
  <c r="C8" i="1"/>
  <c r="N8" i="1" s="1"/>
  <c r="C7" i="1"/>
  <c r="N7" i="1" s="1"/>
  <c r="C6" i="1"/>
  <c r="N6" i="1" s="1"/>
  <c r="C5" i="1"/>
  <c r="N5" i="1" s="1"/>
  <c r="C22" i="6" l="1"/>
  <c r="D18" i="8"/>
  <c r="G7" i="47"/>
  <c r="I19" i="47"/>
  <c r="F19" i="47"/>
  <c r="E19" i="47"/>
  <c r="D19" i="47"/>
  <c r="C19" i="47"/>
  <c r="C18" i="47" s="1"/>
  <c r="C13" i="17"/>
  <c r="C12" i="17"/>
  <c r="C28" i="10"/>
  <c r="C28" i="5"/>
  <c r="C28" i="4"/>
  <c r="C28" i="3"/>
  <c r="C28" i="2"/>
  <c r="C28" i="1"/>
  <c r="I28" i="1" s="1"/>
  <c r="K7" i="47" l="1"/>
  <c r="G6" i="47"/>
  <c r="C30" i="1"/>
  <c r="M28" i="1"/>
  <c r="H30" i="1"/>
  <c r="I30" i="1"/>
  <c r="E30" i="1"/>
  <c r="G30" i="1"/>
  <c r="F30" i="1"/>
  <c r="D30" i="1"/>
  <c r="G19" i="47"/>
  <c r="I23" i="47"/>
  <c r="I18" i="47" s="1"/>
  <c r="E23" i="47"/>
  <c r="E18" i="47" s="1"/>
  <c r="F23" i="47"/>
  <c r="F18" i="47" s="1"/>
  <c r="D23" i="47"/>
  <c r="D18" i="47" s="1"/>
  <c r="G13" i="17"/>
  <c r="I13" i="17" s="1"/>
  <c r="N13" i="17" s="1"/>
  <c r="G12" i="17"/>
  <c r="I12" i="17" s="1"/>
  <c r="N12" i="17" s="1"/>
  <c r="G28" i="10"/>
  <c r="G28" i="6"/>
  <c r="G28" i="5"/>
  <c r="G28" i="4"/>
  <c r="G28" i="3"/>
  <c r="I28" i="3" s="1"/>
  <c r="G28" i="2"/>
  <c r="I28" i="2" s="1"/>
  <c r="I30" i="3" l="1"/>
  <c r="M28" i="3"/>
  <c r="H30" i="3"/>
  <c r="E30" i="3"/>
  <c r="F30" i="3"/>
  <c r="D30" i="3"/>
  <c r="C30" i="3"/>
  <c r="I30" i="2"/>
  <c r="M28" i="2"/>
  <c r="H30" i="2"/>
  <c r="F30" i="2"/>
  <c r="E30" i="2"/>
  <c r="D30" i="2"/>
  <c r="I28" i="4"/>
  <c r="I28" i="10"/>
  <c r="I28" i="5"/>
  <c r="G30" i="3"/>
  <c r="G30" i="2"/>
  <c r="I28" i="6"/>
  <c r="K19" i="47"/>
  <c r="C30" i="2"/>
  <c r="G23" i="47"/>
  <c r="K23" i="47" s="1"/>
  <c r="M13" i="17"/>
  <c r="I30" i="4" l="1"/>
  <c r="M28" i="4"/>
  <c r="H30" i="4"/>
  <c r="F30" i="4"/>
  <c r="E30" i="4"/>
  <c r="D30" i="4"/>
  <c r="C30" i="4"/>
  <c r="I30" i="6"/>
  <c r="H30" i="6"/>
  <c r="M28" i="6"/>
  <c r="E30" i="6"/>
  <c r="F30" i="6"/>
  <c r="D30" i="6"/>
  <c r="C30" i="6"/>
  <c r="I30" i="5"/>
  <c r="M28" i="5"/>
  <c r="H30" i="5"/>
  <c r="E30" i="5"/>
  <c r="F30" i="5"/>
  <c r="D30" i="5"/>
  <c r="C30" i="5"/>
  <c r="G30" i="4"/>
  <c r="G30" i="6"/>
  <c r="I30" i="10"/>
  <c r="H30" i="10"/>
  <c r="M28" i="10"/>
  <c r="E30" i="10"/>
  <c r="F30" i="10"/>
  <c r="D30" i="10"/>
  <c r="C30" i="10"/>
  <c r="G30" i="10"/>
  <c r="G18" i="47"/>
  <c r="G30" i="5"/>
  <c r="O13" i="17"/>
  <c r="K21" i="47"/>
  <c r="N22" i="6" l="1"/>
  <c r="M24" i="6" s="1"/>
  <c r="E24" i="2"/>
  <c r="H24" i="2"/>
  <c r="L24" i="2"/>
  <c r="I24" i="2"/>
  <c r="J24" i="2"/>
  <c r="N19" i="9"/>
  <c r="M21" i="9" s="1"/>
  <c r="E22" i="10"/>
  <c r="N22" i="3" l="1"/>
  <c r="N22" i="4"/>
  <c r="M12" i="17"/>
  <c r="N18" i="8"/>
  <c r="D20" i="8" l="1"/>
  <c r="M20" i="8"/>
  <c r="K24" i="3"/>
  <c r="M24" i="3"/>
  <c r="K24" i="4"/>
  <c r="M24" i="4"/>
  <c r="O12" i="17"/>
  <c r="G25" i="47"/>
  <c r="K9" i="47" l="1"/>
  <c r="C30" i="30"/>
  <c r="L30" i="30" l="1"/>
  <c r="K22" i="47" l="1"/>
  <c r="K18" i="47" s="1"/>
  <c r="L22" i="10" l="1"/>
  <c r="K14" i="47" l="1"/>
  <c r="K12" i="47"/>
  <c r="K11" i="47"/>
  <c r="K10" i="47"/>
  <c r="J25" i="47"/>
  <c r="I25" i="47"/>
  <c r="H25" i="47"/>
  <c r="F25" i="47"/>
  <c r="E25" i="47"/>
  <c r="D25" i="47"/>
  <c r="C25" i="47"/>
  <c r="J22" i="10"/>
  <c r="I22" i="10"/>
  <c r="H22" i="10"/>
  <c r="G22" i="10"/>
  <c r="F22" i="10"/>
  <c r="D22" i="10"/>
  <c r="C22" i="10"/>
  <c r="L29" i="29"/>
  <c r="J29" i="29"/>
  <c r="I29" i="29"/>
  <c r="H29" i="29"/>
  <c r="G29" i="29"/>
  <c r="F29" i="29"/>
  <c r="E29" i="29"/>
  <c r="D29" i="29"/>
  <c r="C29" i="29"/>
  <c r="L13" i="29"/>
  <c r="J13" i="29"/>
  <c r="I13" i="29"/>
  <c r="H13" i="29"/>
  <c r="G13" i="29"/>
  <c r="F13" i="29"/>
  <c r="E13" i="29"/>
  <c r="D13" i="29"/>
  <c r="C13" i="29"/>
  <c r="J30" i="30"/>
  <c r="I30" i="30"/>
  <c r="H30" i="30"/>
  <c r="G30" i="30"/>
  <c r="E30" i="30"/>
  <c r="D30" i="30"/>
  <c r="L13" i="30"/>
  <c r="J13" i="30"/>
  <c r="I13" i="30"/>
  <c r="H13" i="30"/>
  <c r="G13" i="30"/>
  <c r="F13" i="30"/>
  <c r="E13" i="30"/>
  <c r="D13" i="30"/>
  <c r="C13" i="30"/>
  <c r="F18" i="31"/>
  <c r="E18" i="31"/>
  <c r="D18" i="31"/>
  <c r="C18" i="31"/>
  <c r="L18" i="32"/>
  <c r="J18" i="32"/>
  <c r="I18" i="32"/>
  <c r="H18" i="32"/>
  <c r="G18" i="32"/>
  <c r="F18" i="32"/>
  <c r="E18" i="32"/>
  <c r="D18" i="32"/>
  <c r="C18" i="32"/>
  <c r="L29" i="53"/>
  <c r="J29" i="53"/>
  <c r="I29" i="53"/>
  <c r="H29" i="53"/>
  <c r="G29" i="53"/>
  <c r="F29" i="53"/>
  <c r="E29" i="53"/>
  <c r="D29" i="53"/>
  <c r="C29" i="53"/>
  <c r="L13" i="53"/>
  <c r="J13" i="53"/>
  <c r="I13" i="53"/>
  <c r="H13" i="53"/>
  <c r="G13" i="53"/>
  <c r="F13" i="53"/>
  <c r="E13" i="53"/>
  <c r="D13" i="53"/>
  <c r="C13" i="53"/>
  <c r="L30" i="12"/>
  <c r="I30" i="12"/>
  <c r="G30" i="12"/>
  <c r="F30" i="12"/>
  <c r="E30" i="12"/>
  <c r="D30" i="12"/>
  <c r="C30" i="12"/>
  <c r="L13" i="12"/>
  <c r="J13" i="12"/>
  <c r="I13" i="12"/>
  <c r="H13" i="12"/>
  <c r="G13" i="12"/>
  <c r="F13" i="12"/>
  <c r="E13" i="12"/>
  <c r="D13" i="12"/>
  <c r="C13" i="12"/>
  <c r="L19" i="9"/>
  <c r="J19" i="9"/>
  <c r="I19" i="9"/>
  <c r="H19" i="9"/>
  <c r="G19" i="9"/>
  <c r="F19" i="9"/>
  <c r="E19" i="9"/>
  <c r="E21" i="9" s="1"/>
  <c r="D19" i="9"/>
  <c r="C19" i="9"/>
  <c r="L18" i="8"/>
  <c r="J18" i="8"/>
  <c r="J20" i="8" s="1"/>
  <c r="I18" i="8"/>
  <c r="H18" i="8"/>
  <c r="H20" i="8" s="1"/>
  <c r="G18" i="8"/>
  <c r="F18" i="8"/>
  <c r="E18" i="8"/>
  <c r="C18" i="8"/>
  <c r="L22" i="6"/>
  <c r="J22" i="6"/>
  <c r="J24" i="6" s="1"/>
  <c r="H22" i="6"/>
  <c r="H24" i="6" s="1"/>
  <c r="G22" i="6"/>
  <c r="F22" i="6"/>
  <c r="F24" i="6" s="1"/>
  <c r="E22" i="6"/>
  <c r="E24" i="6" s="1"/>
  <c r="D22" i="6"/>
  <c r="L22" i="5"/>
  <c r="J22" i="5"/>
  <c r="H22" i="5"/>
  <c r="G22" i="5"/>
  <c r="F22" i="5"/>
  <c r="D22" i="5"/>
  <c r="C22" i="5"/>
  <c r="L22" i="4"/>
  <c r="J22" i="4"/>
  <c r="H22" i="4"/>
  <c r="G22" i="4"/>
  <c r="F22" i="4"/>
  <c r="E22" i="4"/>
  <c r="E24" i="4" s="1"/>
  <c r="D22" i="4"/>
  <c r="C22" i="4"/>
  <c r="L22" i="3"/>
  <c r="J22" i="3"/>
  <c r="G22" i="3"/>
  <c r="E22" i="3"/>
  <c r="D22" i="3"/>
  <c r="C22" i="3"/>
  <c r="D22" i="1"/>
  <c r="C22" i="1"/>
  <c r="N30" i="30" l="1"/>
  <c r="N22" i="1"/>
  <c r="K6" i="47"/>
  <c r="K25" i="47" s="1"/>
  <c r="N22" i="10"/>
  <c r="M24" i="10" s="1"/>
  <c r="N29" i="53"/>
  <c r="M31" i="53" s="1"/>
  <c r="N22" i="5"/>
  <c r="L24" i="5" s="1"/>
  <c r="N13" i="53"/>
  <c r="M15" i="53" s="1"/>
  <c r="N18" i="32"/>
  <c r="M20" i="32" s="1"/>
  <c r="N13" i="29"/>
  <c r="M15" i="29" s="1"/>
  <c r="N29" i="29"/>
  <c r="M31" i="29" s="1"/>
  <c r="N13" i="30"/>
  <c r="M16" i="30" s="1"/>
  <c r="N18" i="31"/>
  <c r="N30" i="12"/>
  <c r="M32" i="12" s="1"/>
  <c r="N13" i="12"/>
  <c r="M15" i="12" s="1"/>
  <c r="D24" i="4"/>
  <c r="D24" i="3"/>
  <c r="C24" i="2"/>
  <c r="M27" i="2"/>
  <c r="M29" i="2" s="1"/>
  <c r="D24" i="2"/>
  <c r="F24" i="2"/>
  <c r="G24" i="2"/>
  <c r="K24" i="2"/>
  <c r="M20" i="31" l="1"/>
  <c r="H20" i="31"/>
  <c r="L20" i="31"/>
  <c r="I20" i="31"/>
  <c r="J20" i="31"/>
  <c r="G20" i="31"/>
  <c r="K20" i="31"/>
  <c r="M27" i="1"/>
  <c r="N24" i="1"/>
  <c r="M24" i="1"/>
  <c r="L24" i="1"/>
  <c r="J24" i="1"/>
  <c r="I24" i="1"/>
  <c r="K24" i="1"/>
  <c r="H24" i="1"/>
  <c r="G24" i="1"/>
  <c r="E24" i="1"/>
  <c r="F24" i="1"/>
  <c r="C24" i="1"/>
  <c r="D24" i="1"/>
  <c r="M27" i="5"/>
  <c r="C24" i="5"/>
  <c r="G32" i="30"/>
  <c r="M32" i="30"/>
  <c r="M24" i="5"/>
  <c r="K24" i="5"/>
  <c r="E24" i="5"/>
  <c r="I24" i="5"/>
  <c r="F24" i="5"/>
  <c r="N24" i="2"/>
  <c r="G24" i="5"/>
  <c r="J24" i="5"/>
  <c r="H24" i="5"/>
  <c r="D24" i="5"/>
  <c r="E24" i="10"/>
  <c r="K24" i="10"/>
  <c r="K31" i="29"/>
  <c r="E15" i="29"/>
  <c r="C15" i="29"/>
  <c r="K15" i="29"/>
  <c r="D24" i="10"/>
  <c r="E32" i="12"/>
  <c r="N27" i="2"/>
  <c r="M27" i="6"/>
  <c r="I24" i="6"/>
  <c r="F15" i="29"/>
  <c r="H15" i="29"/>
  <c r="D15" i="29"/>
  <c r="I15" i="29"/>
  <c r="L15" i="29"/>
  <c r="G15" i="29"/>
  <c r="J15" i="29"/>
  <c r="H31" i="29"/>
  <c r="D31" i="29"/>
  <c r="L31" i="29"/>
  <c r="J31" i="29"/>
  <c r="E31" i="29"/>
  <c r="I31" i="29"/>
  <c r="C31" i="29"/>
  <c r="G31" i="29"/>
  <c r="F31" i="29"/>
  <c r="G24" i="6"/>
  <c r="K24" i="6"/>
  <c r="D24" i="6"/>
  <c r="C15" i="12"/>
  <c r="J24" i="10"/>
  <c r="C24" i="10"/>
  <c r="D20" i="32"/>
  <c r="L20" i="8"/>
  <c r="K20" i="8"/>
  <c r="E20" i="8"/>
  <c r="G20" i="8"/>
  <c r="C24" i="6"/>
  <c r="L24" i="6"/>
  <c r="C16" i="30"/>
  <c r="C20" i="8"/>
  <c r="I20" i="8"/>
  <c r="H24" i="10"/>
  <c r="M27" i="10"/>
  <c r="L24" i="3"/>
  <c r="H24" i="3"/>
  <c r="D31" i="53"/>
  <c r="C15" i="53"/>
  <c r="J24" i="3"/>
  <c r="E24" i="3"/>
  <c r="C24" i="3"/>
  <c r="M27" i="3"/>
  <c r="M29" i="3" s="1"/>
  <c r="N29" i="3" s="1"/>
  <c r="G16" i="30"/>
  <c r="J31" i="53"/>
  <c r="E31" i="53"/>
  <c r="C31" i="53"/>
  <c r="L31" i="53"/>
  <c r="H31" i="53"/>
  <c r="I31" i="53"/>
  <c r="L32" i="12"/>
  <c r="H32" i="12"/>
  <c r="J32" i="12"/>
  <c r="D32" i="12"/>
  <c r="L21" i="9"/>
  <c r="F20" i="8"/>
  <c r="L24" i="4"/>
  <c r="J24" i="4"/>
  <c r="H24" i="4"/>
  <c r="I24" i="3"/>
  <c r="G24" i="3"/>
  <c r="F24" i="3"/>
  <c r="J32" i="30"/>
  <c r="K16" i="30"/>
  <c r="L16" i="30"/>
  <c r="L20" i="32"/>
  <c r="E20" i="32"/>
  <c r="H20" i="32"/>
  <c r="K20" i="32"/>
  <c r="G20" i="32"/>
  <c r="K15" i="53"/>
  <c r="J15" i="53"/>
  <c r="G15" i="53"/>
  <c r="L15" i="12"/>
  <c r="J15" i="12"/>
  <c r="H15" i="12"/>
  <c r="E15" i="12"/>
  <c r="K15" i="12"/>
  <c r="J21" i="9"/>
  <c r="H21" i="9"/>
  <c r="C21" i="9"/>
  <c r="K21" i="9"/>
  <c r="I21" i="9"/>
  <c r="D21" i="9"/>
  <c r="C24" i="4"/>
  <c r="N24" i="4"/>
  <c r="M27" i="4"/>
  <c r="L24" i="10"/>
  <c r="L32" i="30"/>
  <c r="H32" i="30"/>
  <c r="C32" i="30"/>
  <c r="D32" i="30"/>
  <c r="E32" i="30"/>
  <c r="F32" i="30"/>
  <c r="I32" i="30"/>
  <c r="I16" i="30"/>
  <c r="F16" i="30"/>
  <c r="H16" i="30"/>
  <c r="D16" i="30"/>
  <c r="J16" i="30"/>
  <c r="E16" i="30"/>
  <c r="K31" i="53"/>
  <c r="G31" i="53"/>
  <c r="F31" i="53"/>
  <c r="C32" i="12"/>
  <c r="K32" i="12"/>
  <c r="I32" i="12"/>
  <c r="G32" i="12"/>
  <c r="F32" i="12"/>
  <c r="I15" i="12"/>
  <c r="G21" i="9"/>
  <c r="I24" i="4"/>
  <c r="I24" i="10"/>
  <c r="G24" i="10"/>
  <c r="F24" i="10"/>
  <c r="K32" i="30"/>
  <c r="D20" i="31"/>
  <c r="F20" i="31"/>
  <c r="E20" i="31"/>
  <c r="C20" i="31"/>
  <c r="J20" i="32"/>
  <c r="C20" i="32"/>
  <c r="I20" i="32"/>
  <c r="F20" i="32"/>
  <c r="L15" i="53"/>
  <c r="H15" i="53"/>
  <c r="E15" i="53"/>
  <c r="I15" i="53"/>
  <c r="F15" i="53"/>
  <c r="D15" i="53"/>
  <c r="F15" i="12"/>
  <c r="G15" i="12"/>
  <c r="D15" i="12"/>
  <c r="F21" i="9"/>
  <c r="G24" i="4"/>
  <c r="F24" i="4"/>
  <c r="M29" i="5"/>
  <c r="N29" i="5" s="1"/>
  <c r="N16" i="30" l="1"/>
  <c r="N24" i="10"/>
  <c r="N15" i="29"/>
  <c r="N31" i="29"/>
  <c r="N32" i="30"/>
  <c r="N24" i="5"/>
  <c r="N20" i="32"/>
  <c r="N20" i="31"/>
  <c r="N21" i="9"/>
  <c r="N31" i="53"/>
  <c r="N20" i="8"/>
  <c r="N32" i="12"/>
  <c r="N24" i="3"/>
  <c r="N15" i="53"/>
  <c r="N15" i="12"/>
  <c r="N24" i="6"/>
  <c r="M29" i="4"/>
  <c r="N27" i="4" s="1"/>
  <c r="M29" i="10"/>
  <c r="N27" i="10" s="1"/>
  <c r="M29" i="6"/>
  <c r="N27" i="6" s="1"/>
  <c r="M29" i="1"/>
  <c r="N29" i="2"/>
  <c r="N28" i="2"/>
  <c r="N27" i="3"/>
  <c r="N28" i="3"/>
  <c r="N27" i="5"/>
  <c r="N28" i="5"/>
  <c r="N29" i="10" l="1"/>
  <c r="N28" i="10"/>
  <c r="N29" i="1"/>
  <c r="N28" i="1"/>
  <c r="N27" i="1"/>
  <c r="N29" i="6"/>
  <c r="N28" i="6"/>
  <c r="N29" i="4"/>
  <c r="N28" i="4"/>
</calcChain>
</file>

<file path=xl/sharedStrings.xml><?xml version="1.0" encoding="utf-8"?>
<sst xmlns="http://schemas.openxmlformats.org/spreadsheetml/2006/main" count="915" uniqueCount="122">
  <si>
    <t>Ред.   бр.</t>
  </si>
  <si>
    <t>Класа на осигурување</t>
  </si>
  <si>
    <t>неживот</t>
  </si>
  <si>
    <t>Вкупно</t>
  </si>
  <si>
    <t>Триглав</t>
  </si>
  <si>
    <t>Евроинс</t>
  </si>
  <si>
    <t>Сава</t>
  </si>
  <si>
    <t>Винер</t>
  </si>
  <si>
    <t>Еуролинк</t>
  </si>
  <si>
    <t>Ос.Полиса</t>
  </si>
  <si>
    <t>Кроација</t>
  </si>
  <si>
    <t>Незгода</t>
  </si>
  <si>
    <t>Здравствено осигурување</t>
  </si>
  <si>
    <t>Моторни возила - каско</t>
  </si>
  <si>
    <t>Шински возила - каско</t>
  </si>
  <si>
    <t>Воздухоплови - каско</t>
  </si>
  <si>
    <t>Пловни објекти - каско</t>
  </si>
  <si>
    <t>Стока во превоз - карго</t>
  </si>
  <si>
    <t>Имот од пожари и други непогоди</t>
  </si>
  <si>
    <t xml:space="preserve">Останати осигурувања на имот </t>
  </si>
  <si>
    <t>АО (вкупно )</t>
  </si>
  <si>
    <t>Одговорност воздухоплови</t>
  </si>
  <si>
    <t>Одговорност пловни објекти</t>
  </si>
  <si>
    <t xml:space="preserve">Општо осигурување од одговорност </t>
  </si>
  <si>
    <t>Осигурување на кредити</t>
  </si>
  <si>
    <t>Осигурување на гаранции</t>
  </si>
  <si>
    <t>Осигурување од финансиски загуби</t>
  </si>
  <si>
    <t>Осигурување на правна заштита</t>
  </si>
  <si>
    <t>Осигурување на туристичка помош</t>
  </si>
  <si>
    <t xml:space="preserve">Вкупно  </t>
  </si>
  <si>
    <t xml:space="preserve">% по друштво за неживотно осигурување </t>
  </si>
  <si>
    <t>Граве</t>
  </si>
  <si>
    <t>Неживот</t>
  </si>
  <si>
    <t>Живот</t>
  </si>
  <si>
    <t xml:space="preserve">% по друштво за животно осигурување </t>
  </si>
  <si>
    <t>во 000 мкд</t>
  </si>
  <si>
    <t xml:space="preserve">Вкупно </t>
  </si>
  <si>
    <t>Ос.полиса</t>
  </si>
  <si>
    <t>Патнички автомобили</t>
  </si>
  <si>
    <t>Товарни возила</t>
  </si>
  <si>
    <t>Автобуси</t>
  </si>
  <si>
    <t>Влечни возила</t>
  </si>
  <si>
    <t>Специјални возила</t>
  </si>
  <si>
    <t>Моторцикли и скутери</t>
  </si>
  <si>
    <t>Приклучни возила</t>
  </si>
  <si>
    <t>Работни моторни возила</t>
  </si>
  <si>
    <t>Возила за време на пробни возења и престој во складишта</t>
  </si>
  <si>
    <t>Возила за време на доопремување на сопствени оски (пер акс)</t>
  </si>
  <si>
    <t>Моторни возила со пробни таблици</t>
  </si>
  <si>
    <t>Возила за време на поправка во автомеханичарски и авторемонтни работилници и во работилници за перење и подмачкување</t>
  </si>
  <si>
    <t>Возила со посебни регистарски ознаки кои се во промет на територија на РМ</t>
  </si>
  <si>
    <t>000 мкд</t>
  </si>
  <si>
    <t xml:space="preserve">% </t>
  </si>
  <si>
    <t xml:space="preserve">Вкупно ЗК </t>
  </si>
  <si>
    <t>Вкупно (неживот)</t>
  </si>
  <si>
    <t>Вкупно (живот)</t>
  </si>
  <si>
    <t>Друштво за осигурување</t>
  </si>
  <si>
    <t>Трошоци за провизија</t>
  </si>
  <si>
    <t>Резерви за настанати и пријавени штети</t>
  </si>
  <si>
    <t>Резерви за настанати но непријавени штети</t>
  </si>
  <si>
    <t>Број на штети</t>
  </si>
  <si>
    <t>Исплатени износи</t>
  </si>
  <si>
    <t>Број на резервирани штети</t>
  </si>
  <si>
    <t>Неосигурени возила</t>
  </si>
  <si>
    <t>Непознати возила</t>
  </si>
  <si>
    <t>Останати услужни штети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</si>
  <si>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</si>
  <si>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Општа одговорност </t>
  </si>
  <si>
    <t>Македонија</t>
  </si>
  <si>
    <t xml:space="preserve">Директна продажба </t>
  </si>
  <si>
    <t>Осиг. брокерски друштва</t>
  </si>
  <si>
    <t>Друштва за застапување</t>
  </si>
  <si>
    <t>Туристички агенции</t>
  </si>
  <si>
    <t xml:space="preserve">Авто салони </t>
  </si>
  <si>
    <t>Банки</t>
  </si>
  <si>
    <t>Број на склучени договори</t>
  </si>
  <si>
    <t xml:space="preserve">Бруто полисирана премија </t>
  </si>
  <si>
    <t>Застапници во осигурување</t>
  </si>
  <si>
    <t>Останати дистрибутивни канали</t>
  </si>
  <si>
    <t>Математичка резерва</t>
  </si>
  <si>
    <t>Резерви на штети</t>
  </si>
  <si>
    <t>Ред.           бр.</t>
  </si>
  <si>
    <t>Резерви за преносна премија</t>
  </si>
  <si>
    <t>Резерви за бонуси и попусти</t>
  </si>
  <si>
    <t>Резерви за штети</t>
  </si>
  <si>
    <t>Еквилизациона резерва</t>
  </si>
  <si>
    <t>Други технички резерви</t>
  </si>
  <si>
    <t>Вкупно резерви за штети</t>
  </si>
  <si>
    <t>Друштво</t>
  </si>
  <si>
    <t>живот</t>
  </si>
  <si>
    <t xml:space="preserve"> Во 000 мкд</t>
  </si>
  <si>
    <t>Во 000 мкд</t>
  </si>
  <si>
    <t>Халк</t>
  </si>
  <si>
    <t>Граве н.</t>
  </si>
  <si>
    <t>Прва живот</t>
  </si>
  <si>
    <t>Зоил</t>
  </si>
  <si>
    <t>Сигал</t>
  </si>
  <si>
    <t>Бруто полисирана премија за период од 01.01.2026 до 31.03.2026</t>
  </si>
  <si>
    <t>Број на договори за период од 01.01.2026 до 31.03.2026</t>
  </si>
  <si>
    <t>Бруто исплатени (ликвидирани) штети за период од 01.01.2026 до 31.03.2026</t>
  </si>
  <si>
    <t>Број исплатени (ликвидирани) штети за период од 01.01.2026 до 31.03.2026</t>
  </si>
  <si>
    <t>Број на резервирани штети за период од 01.01.2026 до 31.03.2026</t>
  </si>
  <si>
    <t>Бруто резерви за настанати и пријавени штети за период од 01.01.2026 до 31.03.2026</t>
  </si>
  <si>
    <t>Бруто резерви за настанати но непријавени штети за период од 01.01.2026 до 31.03.2026</t>
  </si>
  <si>
    <t>Договори за ЗАО за период од 01.01.2026 до 31.03.2026</t>
  </si>
  <si>
    <t>Премија за ЗАО за период од 01.01.2026 до 31.03.2026</t>
  </si>
  <si>
    <t>Број на Зелена карта за период од 01.01.2026 до 31.03.2026</t>
  </si>
  <si>
    <t>Премија за Зелена карта за период од 01.01.2026 до 31.03.2026</t>
  </si>
  <si>
    <t>Број на Гранично осигурување за период од 01.01.2026 до 31.03.2026</t>
  </si>
  <si>
    <t>Премија за Гранично осигурување за период од 01.01.2026 до 31.03.2026</t>
  </si>
  <si>
    <t>Број на штети од ЗАО за период од 01.01.2026 до 31.03.2026</t>
  </si>
  <si>
    <t>Ликвидирани штети на ЗАО за период од 01.01.2026 до 31.03.2026</t>
  </si>
  <si>
    <t>Број на штети на Зелена карта за период од 01.01.2026 до 31.03.2026</t>
  </si>
  <si>
    <t>Ликвидирани штети за ЗК за период од 01.01.2026 до 31.03.2026</t>
  </si>
  <si>
    <t>Број на штети Гранично осигурување за период од 01.01.2026 до 31.03.2026</t>
  </si>
  <si>
    <t>Ликвидирани штети за Гранично осигурување за период од 01.01.2026 до 31.03.2026</t>
  </si>
  <si>
    <t>Техничка премија за период од 01.01.2026 до 31.03.2026</t>
  </si>
  <si>
    <t xml:space="preserve">          Резерви за настанати и пријавени, непријавени штети за период од 01.01.2026 до 31.03.2026</t>
  </si>
  <si>
    <t>Продажба по канали за период од 01.01.2026 до 31.03.2026</t>
  </si>
  <si>
    <t>Бруто технички резерви за периодот од  01.01.2026 до 31.03.2026</t>
  </si>
  <si>
    <t>Неосигурени возила, непознати возила и услужни штети за период од 01.01.2026 до 31.03.2026 година ( Вкупно )</t>
  </si>
  <si>
    <t>Преносна премија за период од 01.01.2026 до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</si>
</sst>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charset val="204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8"/>
      <name val="Calibri"/>
      <family val="2"/>
      <charset val="204"/>
      <scheme val="minor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6">
    <xf numFmtId="0" fontId="0" fillId="0" borderId="0" xfId="0"/>
    <xf numFmtId="0" fontId="0" fillId="0" borderId="0" xfId="0"/>
    <xf numFmtId="0" fontId="5" fillId="0" borderId="0" xfId="1" applyFont="1"/>
    <xf numFmtId="0" fontId="6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3" fillId="0" borderId="0" xfId="1" applyFont="1"/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3" fontId="11" fillId="3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3" fontId="8" fillId="4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0" fontId="12" fillId="3" borderId="1" xfId="2" applyNumberFormat="1" applyFont="1" applyFill="1" applyBorder="1" applyAlignment="1">
      <alignment vertical="center"/>
    </xf>
    <xf numFmtId="10" fontId="5" fillId="2" borderId="13" xfId="2" applyNumberFormat="1" applyFont="1" applyFill="1" applyBorder="1" applyAlignment="1">
      <alignment vertical="center"/>
    </xf>
    <xf numFmtId="10" fontId="5" fillId="3" borderId="1" xfId="2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3" fontId="8" fillId="3" borderId="0" xfId="0" applyNumberFormat="1" applyFont="1" applyFill="1" applyBorder="1"/>
    <xf numFmtId="3" fontId="8" fillId="3" borderId="0" xfId="0" applyNumberFormat="1" applyFont="1" applyFill="1" applyBorder="1" applyAlignment="1">
      <alignment vertical="center"/>
    </xf>
    <xf numFmtId="10" fontId="5" fillId="2" borderId="1" xfId="6" applyNumberFormat="1" applyFont="1" applyFill="1" applyBorder="1" applyAlignment="1">
      <alignment vertical="center"/>
    </xf>
    <xf numFmtId="10" fontId="5" fillId="3" borderId="1" xfId="6" applyNumberFormat="1" applyFont="1" applyFill="1" applyBorder="1" applyAlignment="1">
      <alignment vertical="center"/>
    </xf>
    <xf numFmtId="0" fontId="6" fillId="0" borderId="0" xfId="0" applyFont="1"/>
    <xf numFmtId="3" fontId="5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14" fillId="0" borderId="0" xfId="0" applyFont="1"/>
    <xf numFmtId="0" fontId="5" fillId="2" borderId="7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vertical="center"/>
    </xf>
    <xf numFmtId="10" fontId="12" fillId="3" borderId="1" xfId="6" applyNumberFormat="1" applyFont="1" applyFill="1" applyBorder="1" applyAlignment="1">
      <alignment vertical="center"/>
    </xf>
    <xf numFmtId="10" fontId="5" fillId="2" borderId="13" xfId="6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11" fillId="3" borderId="0" xfId="0" applyNumberFormat="1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10" fontId="5" fillId="3" borderId="13" xfId="6" applyNumberFormat="1" applyFont="1" applyFill="1" applyBorder="1" applyAlignment="1">
      <alignment vertical="center"/>
    </xf>
    <xf numFmtId="10" fontId="12" fillId="2" borderId="1" xfId="6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0" fontId="5" fillId="6" borderId="17" xfId="0" applyFont="1" applyFill="1" applyBorder="1"/>
    <xf numFmtId="0" fontId="5" fillId="6" borderId="0" xfId="0" applyFont="1" applyFill="1" applyBorder="1"/>
    <xf numFmtId="0" fontId="5" fillId="0" borderId="1" xfId="0" applyFont="1" applyBorder="1"/>
    <xf numFmtId="0" fontId="12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2" borderId="10" xfId="1" applyFont="1" applyFill="1" applyBorder="1" applyAlignment="1">
      <alignment vertical="center"/>
    </xf>
    <xf numFmtId="0" fontId="0" fillId="0" borderId="0" xfId="0" applyBorder="1"/>
    <xf numFmtId="10" fontId="12" fillId="2" borderId="1" xfId="2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4" fillId="0" borderId="0" xfId="0" applyFont="1"/>
    <xf numFmtId="3" fontId="24" fillId="2" borderId="4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14" fillId="0" borderId="25" xfId="0" applyNumberFormat="1" applyFont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3" fontId="24" fillId="3" borderId="6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vertical="center"/>
    </xf>
    <xf numFmtId="3" fontId="14" fillId="2" borderId="4" xfId="0" applyNumberFormat="1" applyFont="1" applyFill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3" fontId="24" fillId="3" borderId="4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vertical="center"/>
    </xf>
    <xf numFmtId="3" fontId="11" fillId="3" borderId="1" xfId="1" applyNumberFormat="1" applyFont="1" applyFill="1" applyBorder="1" applyAlignment="1">
      <alignment vertical="center"/>
    </xf>
    <xf numFmtId="3" fontId="8" fillId="2" borderId="13" xfId="1" applyNumberFormat="1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3" fontId="14" fillId="2" borderId="7" xfId="0" applyNumberFormat="1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3" fontId="23" fillId="3" borderId="7" xfId="0" applyNumberFormat="1" applyFont="1" applyFill="1" applyBorder="1" applyAlignment="1">
      <alignment vertical="center"/>
    </xf>
    <xf numFmtId="3" fontId="23" fillId="2" borderId="9" xfId="0" applyNumberFormat="1" applyFont="1" applyFill="1" applyBorder="1" applyAlignment="1">
      <alignment vertical="center"/>
    </xf>
    <xf numFmtId="3" fontId="14" fillId="2" borderId="9" xfId="0" applyNumberFormat="1" applyFont="1" applyFill="1" applyBorder="1" applyAlignment="1">
      <alignment vertical="center"/>
    </xf>
    <xf numFmtId="3" fontId="23" fillId="2" borderId="7" xfId="0" applyNumberFormat="1" applyFont="1" applyFill="1" applyBorder="1" applyAlignment="1">
      <alignment vertical="center"/>
    </xf>
    <xf numFmtId="3" fontId="5" fillId="3" borderId="6" xfId="1" applyNumberFormat="1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2" borderId="3" xfId="1" applyNumberFormat="1" applyFont="1" applyFill="1" applyBorder="1" applyAlignment="1">
      <alignment vertical="center"/>
    </xf>
    <xf numFmtId="3" fontId="5" fillId="2" borderId="16" xfId="1" applyNumberFormat="1" applyFont="1" applyFill="1" applyBorder="1" applyAlignment="1">
      <alignment vertical="center"/>
    </xf>
    <xf numFmtId="3" fontId="5" fillId="3" borderId="7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3" fontId="5" fillId="3" borderId="3" xfId="1" applyNumberFormat="1" applyFont="1" applyFill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31" fillId="3" borderId="1" xfId="1" applyNumberFormat="1" applyFont="1" applyFill="1" applyBorder="1" applyAlignment="1">
      <alignment vertical="center"/>
    </xf>
    <xf numFmtId="3" fontId="31" fillId="2" borderId="13" xfId="1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horizontal="left" vertical="center" wrapText="1"/>
    </xf>
    <xf numFmtId="1" fontId="5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2" fontId="7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10" fontId="5" fillId="3" borderId="1" xfId="6" applyNumberFormat="1" applyFont="1" applyFill="1" applyBorder="1"/>
    <xf numFmtId="0" fontId="32" fillId="0" borderId="0" xfId="0" applyFont="1"/>
    <xf numFmtId="0" fontId="33" fillId="0" borderId="0" xfId="0" applyFont="1"/>
    <xf numFmtId="0" fontId="4" fillId="0" borderId="0" xfId="0" applyFont="1" applyAlignment="1">
      <alignment vertical="center"/>
    </xf>
    <xf numFmtId="3" fontId="12" fillId="0" borderId="1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vertical="center"/>
    </xf>
    <xf numFmtId="0" fontId="0" fillId="0" borderId="0" xfId="0" applyAlignment="1"/>
    <xf numFmtId="3" fontId="23" fillId="3" borderId="3" xfId="0" applyNumberFormat="1" applyFont="1" applyFill="1" applyBorder="1" applyAlignment="1">
      <alignment vertical="center"/>
    </xf>
    <xf numFmtId="3" fontId="19" fillId="3" borderId="39" xfId="0" applyNumberFormat="1" applyFont="1" applyFill="1" applyBorder="1" applyAlignment="1">
      <alignment vertical="center"/>
    </xf>
    <xf numFmtId="3" fontId="19" fillId="3" borderId="40" xfId="0" applyNumberFormat="1" applyFont="1" applyFill="1" applyBorder="1" applyAlignment="1">
      <alignment vertical="center"/>
    </xf>
    <xf numFmtId="1" fontId="19" fillId="0" borderId="39" xfId="0" applyNumberFormat="1" applyFont="1" applyBorder="1" applyAlignment="1">
      <alignment vertical="center"/>
    </xf>
    <xf numFmtId="3" fontId="19" fillId="0" borderId="39" xfId="0" applyNumberFormat="1" applyFont="1" applyBorder="1" applyAlignment="1">
      <alignment vertical="center"/>
    </xf>
    <xf numFmtId="3" fontId="19" fillId="0" borderId="40" xfId="0" applyNumberFormat="1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/>
    </xf>
    <xf numFmtId="0" fontId="5" fillId="0" borderId="48" xfId="1" applyFont="1" applyBorder="1" applyAlignment="1">
      <alignment horizontal="center" vertical="center"/>
    </xf>
    <xf numFmtId="0" fontId="6" fillId="2" borderId="42" xfId="1" applyFont="1" applyFill="1" applyBorder="1" applyAlignment="1">
      <alignment vertical="center"/>
    </xf>
    <xf numFmtId="3" fontId="5" fillId="2" borderId="42" xfId="0" applyNumberFormat="1" applyFont="1" applyFill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2" borderId="43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3" fontId="42" fillId="2" borderId="4" xfId="0" applyNumberFormat="1" applyFont="1" applyFill="1" applyBorder="1" applyAlignment="1">
      <alignment vertical="center" wrapText="1"/>
    </xf>
    <xf numFmtId="3" fontId="5" fillId="0" borderId="12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28" fillId="2" borderId="17" xfId="0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4" fontId="5" fillId="3" borderId="7" xfId="1" applyNumberFormat="1" applyFont="1" applyFill="1" applyBorder="1" applyAlignment="1">
      <alignment vertical="center"/>
    </xf>
    <xf numFmtId="3" fontId="0" fillId="0" borderId="0" xfId="0" applyNumberFormat="1"/>
    <xf numFmtId="3" fontId="23" fillId="3" borderId="9" xfId="0" applyNumberFormat="1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3" fontId="23" fillId="2" borderId="4" xfId="0" applyNumberFormat="1" applyFont="1" applyFill="1" applyBorder="1" applyAlignment="1">
      <alignment vertical="center" wrapText="1"/>
    </xf>
    <xf numFmtId="3" fontId="42" fillId="7" borderId="49" xfId="0" applyNumberFormat="1" applyFont="1" applyFill="1" applyBorder="1" applyAlignment="1">
      <alignment vertical="center" wrapText="1"/>
    </xf>
    <xf numFmtId="3" fontId="14" fillId="2" borderId="50" xfId="0" applyNumberFormat="1" applyFont="1" applyFill="1" applyBorder="1" applyAlignment="1">
      <alignment vertical="center"/>
    </xf>
    <xf numFmtId="3" fontId="14" fillId="3" borderId="51" xfId="0" applyNumberFormat="1" applyFont="1" applyFill="1" applyBorder="1" applyAlignment="1">
      <alignment vertical="center"/>
    </xf>
    <xf numFmtId="3" fontId="42" fillId="7" borderId="7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52" xfId="0" applyNumberFormat="1" applyFont="1" applyBorder="1" applyAlignment="1">
      <alignment vertical="center"/>
    </xf>
    <xf numFmtId="3" fontId="43" fillId="2" borderId="42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3" fontId="5" fillId="2" borderId="20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3" fontId="5" fillId="2" borderId="1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/>
    </xf>
    <xf numFmtId="3" fontId="14" fillId="2" borderId="51" xfId="0" applyNumberFormat="1" applyFont="1" applyFill="1" applyBorder="1" applyAlignment="1">
      <alignment vertical="center"/>
    </xf>
    <xf numFmtId="3" fontId="23" fillId="2" borderId="17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4" fillId="0" borderId="39" xfId="0" applyFont="1" applyBorder="1"/>
    <xf numFmtId="4" fontId="0" fillId="0" borderId="39" xfId="0" applyNumberFormat="1" applyBorder="1"/>
    <xf numFmtId="0" fontId="0" fillId="0" borderId="54" xfId="0" applyBorder="1"/>
    <xf numFmtId="3" fontId="23" fillId="2" borderId="39" xfId="0" applyNumberFormat="1" applyFont="1" applyFill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3" fontId="5" fillId="8" borderId="3" xfId="1" applyNumberFormat="1" applyFont="1" applyFill="1" applyBorder="1" applyAlignment="1">
      <alignment vertical="center"/>
    </xf>
    <xf numFmtId="3" fontId="5" fillId="8" borderId="43" xfId="0" applyNumberFormat="1" applyFont="1" applyFill="1" applyBorder="1" applyAlignment="1">
      <alignment vertical="center"/>
    </xf>
    <xf numFmtId="10" fontId="12" fillId="8" borderId="1" xfId="2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10" fontId="8" fillId="2" borderId="19" xfId="0" applyNumberFormat="1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vertical="center"/>
    </xf>
    <xf numFmtId="10" fontId="8" fillId="2" borderId="1" xfId="0" applyNumberFormat="1" applyFont="1" applyFill="1" applyBorder="1" applyAlignment="1">
      <alignment vertical="center"/>
    </xf>
    <xf numFmtId="3" fontId="8" fillId="8" borderId="11" xfId="0" applyNumberFormat="1" applyFont="1" applyFill="1" applyBorder="1" applyAlignment="1">
      <alignment vertical="center"/>
    </xf>
    <xf numFmtId="10" fontId="8" fillId="2" borderId="20" xfId="0" applyNumberFormat="1" applyFont="1" applyFill="1" applyBorder="1" applyAlignment="1">
      <alignment vertical="center"/>
    </xf>
    <xf numFmtId="3" fontId="5" fillId="8" borderId="52" xfId="1" applyNumberFormat="1" applyFont="1" applyFill="1" applyBorder="1" applyAlignment="1">
      <alignment vertical="center"/>
    </xf>
    <xf numFmtId="3" fontId="5" fillId="8" borderId="50" xfId="1" applyNumberFormat="1" applyFont="1" applyFill="1" applyBorder="1" applyAlignment="1">
      <alignment vertical="center"/>
    </xf>
    <xf numFmtId="3" fontId="12" fillId="8" borderId="50" xfId="1" applyNumberFormat="1" applyFont="1" applyFill="1" applyBorder="1" applyAlignment="1">
      <alignment vertical="center"/>
    </xf>
    <xf numFmtId="3" fontId="5" fillId="8" borderId="9" xfId="1" applyNumberFormat="1" applyFont="1" applyFill="1" applyBorder="1" applyAlignment="1">
      <alignment vertical="center"/>
    </xf>
    <xf numFmtId="3" fontId="8" fillId="8" borderId="1" xfId="1" applyNumberFormat="1" applyFont="1" applyFill="1" applyBorder="1" applyAlignment="1">
      <alignment vertical="center"/>
    </xf>
    <xf numFmtId="3" fontId="5" fillId="8" borderId="14" xfId="0" applyNumberFormat="1" applyFont="1" applyFill="1" applyBorder="1" applyAlignment="1">
      <alignment vertical="center"/>
    </xf>
    <xf numFmtId="3" fontId="5" fillId="8" borderId="1" xfId="0" applyNumberFormat="1" applyFont="1" applyFill="1" applyBorder="1" applyAlignment="1">
      <alignment vertical="center"/>
    </xf>
    <xf numFmtId="10" fontId="5" fillId="8" borderId="1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5" fillId="8" borderId="52" xfId="0" applyNumberFormat="1" applyFont="1" applyFill="1" applyBorder="1" applyAlignment="1">
      <alignment vertical="center"/>
    </xf>
    <xf numFmtId="3" fontId="8" fillId="8" borderId="14" xfId="0" applyNumberFormat="1" applyFont="1" applyFill="1" applyBorder="1" applyAlignment="1">
      <alignment vertical="center"/>
    </xf>
    <xf numFmtId="10" fontId="5" fillId="8" borderId="1" xfId="6" applyNumberFormat="1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right" vertical="center"/>
    </xf>
    <xf numFmtId="3" fontId="8" fillId="8" borderId="11" xfId="0" applyNumberFormat="1" applyFont="1" applyFill="1" applyBorder="1" applyAlignment="1">
      <alignment horizontal="right" vertical="center"/>
    </xf>
    <xf numFmtId="164" fontId="5" fillId="8" borderId="1" xfId="6" applyNumberFormat="1" applyFont="1" applyFill="1" applyBorder="1" applyAlignment="1">
      <alignment vertical="center"/>
    </xf>
    <xf numFmtId="10" fontId="5" fillId="8" borderId="14" xfId="6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2" borderId="36" xfId="0" applyNumberFormat="1" applyFont="1" applyFill="1" applyBorder="1" applyAlignment="1">
      <alignment vertical="center"/>
    </xf>
    <xf numFmtId="10" fontId="12" fillId="8" borderId="14" xfId="6" applyNumberFormat="1" applyFont="1" applyFill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8" xfId="0" applyNumberFormat="1" applyFont="1" applyFill="1" applyBorder="1" applyAlignment="1">
      <alignment vertical="center"/>
    </xf>
    <xf numFmtId="0" fontId="27" fillId="3" borderId="20" xfId="1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3" fontId="24" fillId="8" borderId="52" xfId="0" applyNumberFormat="1" applyFont="1" applyFill="1" applyBorder="1" applyAlignment="1">
      <alignment vertical="center"/>
    </xf>
    <xf numFmtId="3" fontId="24" fillId="8" borderId="29" xfId="0" applyNumberFormat="1" applyFont="1" applyFill="1" applyBorder="1" applyAlignment="1">
      <alignment vertical="center"/>
    </xf>
    <xf numFmtId="3" fontId="24" fillId="8" borderId="30" xfId="0" applyNumberFormat="1" applyFont="1" applyFill="1" applyBorder="1" applyAlignment="1">
      <alignment horizontal="right" vertical="center"/>
    </xf>
    <xf numFmtId="3" fontId="24" fillId="8" borderId="1" xfId="0" applyNumberFormat="1" applyFont="1" applyFill="1" applyBorder="1" applyAlignment="1">
      <alignment horizontal="right" vertical="center"/>
    </xf>
    <xf numFmtId="3" fontId="24" fillId="8" borderId="6" xfId="0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6" borderId="2" xfId="0" applyFont="1" applyFill="1" applyBorder="1"/>
    <xf numFmtId="0" fontId="24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vertical="center"/>
    </xf>
    <xf numFmtId="3" fontId="7" fillId="8" borderId="1" xfId="0" applyNumberFormat="1" applyFont="1" applyFill="1" applyBorder="1"/>
    <xf numFmtId="3" fontId="7" fillId="8" borderId="1" xfId="0" applyNumberFormat="1" applyFont="1" applyFill="1" applyBorder="1" applyAlignment="1">
      <alignment vertical="center"/>
    </xf>
    <xf numFmtId="3" fontId="7" fillId="8" borderId="11" xfId="0" applyNumberFormat="1" applyFont="1" applyFill="1" applyBorder="1" applyAlignment="1">
      <alignment vertical="center"/>
    </xf>
    <xf numFmtId="3" fontId="36" fillId="8" borderId="11" xfId="0" applyNumberFormat="1" applyFont="1" applyFill="1" applyBorder="1" applyAlignment="1">
      <alignment vertical="center"/>
    </xf>
    <xf numFmtId="3" fontId="36" fillId="8" borderId="1" xfId="0" applyNumberFormat="1" applyFont="1" applyFill="1" applyBorder="1" applyAlignment="1">
      <alignment vertical="center"/>
    </xf>
    <xf numFmtId="3" fontId="24" fillId="8" borderId="1" xfId="0" applyNumberFormat="1" applyFont="1" applyFill="1" applyBorder="1"/>
    <xf numFmtId="3" fontId="24" fillId="8" borderId="1" xfId="0" applyNumberFormat="1" applyFont="1" applyFill="1" applyBorder="1" applyAlignment="1">
      <alignment vertical="center"/>
    </xf>
    <xf numFmtId="3" fontId="31" fillId="8" borderId="1" xfId="0" applyNumberFormat="1" applyFont="1" applyFill="1" applyBorder="1" applyAlignment="1">
      <alignment vertical="center"/>
    </xf>
    <xf numFmtId="3" fontId="25" fillId="8" borderId="11" xfId="0" applyNumberFormat="1" applyFont="1" applyFill="1" applyBorder="1" applyAlignment="1">
      <alignment vertical="center"/>
    </xf>
    <xf numFmtId="3" fontId="37" fillId="8" borderId="11" xfId="0" applyNumberFormat="1" applyFont="1" applyFill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3" fontId="14" fillId="3" borderId="55" xfId="0" applyNumberFormat="1" applyFont="1" applyFill="1" applyBorder="1" applyAlignment="1">
      <alignment vertical="center"/>
    </xf>
    <xf numFmtId="3" fontId="23" fillId="3" borderId="55" xfId="0" applyNumberFormat="1" applyFont="1" applyFill="1" applyBorder="1" applyAlignment="1">
      <alignment vertical="center"/>
    </xf>
    <xf numFmtId="0" fontId="5" fillId="0" borderId="30" xfId="0" applyFont="1" applyBorder="1"/>
    <xf numFmtId="3" fontId="5" fillId="0" borderId="30" xfId="0" applyNumberFormat="1" applyFont="1" applyBorder="1"/>
    <xf numFmtId="3" fontId="5" fillId="0" borderId="20" xfId="0" applyNumberFormat="1" applyFont="1" applyBorder="1"/>
    <xf numFmtId="0" fontId="4" fillId="3" borderId="10" xfId="1" applyFont="1" applyFill="1" applyBorder="1" applyAlignment="1">
      <alignment horizontal="center" vertical="center"/>
    </xf>
    <xf numFmtId="3" fontId="5" fillId="3" borderId="22" xfId="1" applyNumberFormat="1" applyFont="1" applyFill="1" applyBorder="1" applyAlignment="1">
      <alignment vertical="center"/>
    </xf>
    <xf numFmtId="3" fontId="24" fillId="2" borderId="15" xfId="1" applyNumberFormat="1" applyFont="1" applyFill="1" applyBorder="1" applyAlignment="1">
      <alignment vertical="center"/>
    </xf>
    <xf numFmtId="3" fontId="5" fillId="2" borderId="39" xfId="1" applyNumberFormat="1" applyFont="1" applyFill="1" applyBorder="1" applyAlignment="1">
      <alignment vertical="center"/>
    </xf>
    <xf numFmtId="3" fontId="5" fillId="2" borderId="36" xfId="1" applyNumberFormat="1" applyFont="1" applyFill="1" applyBorder="1" applyAlignment="1">
      <alignment vertical="center"/>
    </xf>
    <xf numFmtId="0" fontId="4" fillId="2" borderId="42" xfId="1" applyFont="1" applyFill="1" applyBorder="1" applyAlignment="1">
      <alignment horizontal="center" vertical="center"/>
    </xf>
    <xf numFmtId="3" fontId="5" fillId="2" borderId="42" xfId="1" applyNumberFormat="1" applyFont="1" applyFill="1" applyBorder="1" applyAlignment="1">
      <alignment vertical="center"/>
    </xf>
    <xf numFmtId="3" fontId="24" fillId="3" borderId="10" xfId="1" applyNumberFormat="1" applyFont="1" applyFill="1" applyBorder="1" applyAlignment="1">
      <alignment vertical="center"/>
    </xf>
    <xf numFmtId="3" fontId="5" fillId="2" borderId="17" xfId="1" applyNumberFormat="1" applyFont="1" applyFill="1" applyBorder="1" applyAlignment="1">
      <alignment vertical="center"/>
    </xf>
    <xf numFmtId="3" fontId="24" fillId="2" borderId="5" xfId="1" applyNumberFormat="1" applyFont="1" applyFill="1" applyBorder="1" applyAlignment="1">
      <alignment vertical="center"/>
    </xf>
    <xf numFmtId="3" fontId="24" fillId="2" borderId="56" xfId="1" applyNumberFormat="1" applyFont="1" applyFill="1" applyBorder="1" applyAlignment="1">
      <alignment vertical="center"/>
    </xf>
    <xf numFmtId="3" fontId="24" fillId="3" borderId="0" xfId="1" applyNumberFormat="1" applyFont="1" applyFill="1" applyBorder="1" applyAlignment="1">
      <alignment vertical="center"/>
    </xf>
    <xf numFmtId="0" fontId="0" fillId="3" borderId="0" xfId="0" applyFill="1" applyBorder="1"/>
    <xf numFmtId="10" fontId="5" fillId="3" borderId="0" xfId="2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/>
    </xf>
    <xf numFmtId="3" fontId="5" fillId="3" borderId="36" xfId="1" applyNumberFormat="1" applyFont="1" applyFill="1" applyBorder="1" applyAlignment="1">
      <alignment vertical="center"/>
    </xf>
    <xf numFmtId="3" fontId="5" fillId="3" borderId="39" xfId="1" applyNumberFormat="1" applyFont="1" applyFill="1" applyBorder="1" applyAlignment="1">
      <alignment vertical="center"/>
    </xf>
    <xf numFmtId="3" fontId="5" fillId="3" borderId="42" xfId="1" applyNumberFormat="1" applyFont="1" applyFill="1" applyBorder="1" applyAlignment="1">
      <alignment vertical="center"/>
    </xf>
    <xf numFmtId="0" fontId="4" fillId="2" borderId="29" xfId="1" applyFont="1" applyFill="1" applyBorder="1" applyAlignment="1">
      <alignment horizontal="center" vertical="center"/>
    </xf>
    <xf numFmtId="3" fontId="5" fillId="2" borderId="52" xfId="1" applyNumberFormat="1" applyFont="1" applyFill="1" applyBorder="1" applyAlignment="1">
      <alignment vertical="center"/>
    </xf>
    <xf numFmtId="3" fontId="5" fillId="2" borderId="30" xfId="1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3" fontId="5" fillId="3" borderId="16" xfId="1" applyNumberFormat="1" applyFont="1" applyFill="1" applyBorder="1" applyAlignment="1">
      <alignment vertical="center"/>
    </xf>
    <xf numFmtId="3" fontId="5" fillId="3" borderId="0" xfId="1" applyNumberFormat="1" applyFont="1" applyFill="1" applyBorder="1" applyAlignment="1">
      <alignment vertical="center"/>
    </xf>
    <xf numFmtId="3" fontId="24" fillId="3" borderId="56" xfId="1" applyNumberFormat="1" applyFont="1" applyFill="1" applyBorder="1" applyAlignment="1">
      <alignment vertical="center"/>
    </xf>
    <xf numFmtId="0" fontId="4" fillId="3" borderId="28" xfId="1" applyFont="1" applyFill="1" applyBorder="1" applyAlignment="1">
      <alignment horizontal="center" vertical="center" wrapText="1"/>
    </xf>
    <xf numFmtId="3" fontId="5" fillId="3" borderId="17" xfId="1" applyNumberFormat="1" applyFont="1" applyFill="1" applyBorder="1" applyAlignment="1">
      <alignment vertical="center"/>
    </xf>
    <xf numFmtId="3" fontId="24" fillId="3" borderId="57" xfId="1" applyNumberFormat="1" applyFont="1" applyFill="1" applyBorder="1" applyAlignment="1">
      <alignment vertical="center"/>
    </xf>
    <xf numFmtId="3" fontId="24" fillId="8" borderId="1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0" fontId="4" fillId="3" borderId="15" xfId="1" applyFont="1" applyFill="1" applyBorder="1" applyAlignment="1">
      <alignment horizontal="center" vertical="center"/>
    </xf>
    <xf numFmtId="3" fontId="8" fillId="3" borderId="13" xfId="1" applyNumberFormat="1" applyFont="1" applyFill="1" applyBorder="1" applyAlignment="1">
      <alignment vertical="center"/>
    </xf>
    <xf numFmtId="10" fontId="5" fillId="3" borderId="13" xfId="2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vertical="center"/>
    </xf>
    <xf numFmtId="3" fontId="5" fillId="2" borderId="22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3" fontId="5" fillId="3" borderId="36" xfId="0" applyNumberFormat="1" applyFont="1" applyFill="1" applyBorder="1"/>
    <xf numFmtId="3" fontId="8" fillId="3" borderId="1" xfId="0" applyNumberFormat="1" applyFont="1" applyFill="1" applyBorder="1"/>
    <xf numFmtId="10" fontId="5" fillId="3" borderId="14" xfId="2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10" fontId="5" fillId="2" borderId="1" xfId="6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0" fillId="3" borderId="0" xfId="0" applyFill="1"/>
    <xf numFmtId="10" fontId="5" fillId="3" borderId="1" xfId="14" applyNumberFormat="1" applyFont="1" applyFill="1" applyBorder="1"/>
    <xf numFmtId="3" fontId="12" fillId="2" borderId="4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/>
    </xf>
    <xf numFmtId="3" fontId="5" fillId="3" borderId="1" xfId="0" applyNumberFormat="1" applyFont="1" applyFill="1" applyBorder="1"/>
    <xf numFmtId="0" fontId="5" fillId="3" borderId="0" xfId="0" applyFont="1" applyFill="1"/>
    <xf numFmtId="0" fontId="4" fillId="3" borderId="18" xfId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3" fontId="8" fillId="4" borderId="11" xfId="0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vertical="center"/>
    </xf>
    <xf numFmtId="3" fontId="11" fillId="4" borderId="11" xfId="0" applyNumberFormat="1" applyFont="1" applyFill="1" applyBorder="1" applyAlignment="1">
      <alignment vertical="center"/>
    </xf>
    <xf numFmtId="3" fontId="8" fillId="2" borderId="11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3" fontId="8" fillId="3" borderId="11" xfId="0" applyNumberFormat="1" applyFont="1" applyFill="1" applyBorder="1"/>
    <xf numFmtId="3" fontId="8" fillId="8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3" fontId="5" fillId="2" borderId="60" xfId="0" applyNumberFormat="1" applyFont="1" applyFill="1" applyBorder="1" applyAlignment="1">
      <alignment vertical="center"/>
    </xf>
    <xf numFmtId="3" fontId="5" fillId="8" borderId="38" xfId="0" applyNumberFormat="1" applyFont="1" applyFill="1" applyBorder="1" applyAlignment="1">
      <alignment vertical="center"/>
    </xf>
    <xf numFmtId="3" fontId="5" fillId="4" borderId="7" xfId="0" applyNumberFormat="1" applyFont="1" applyFill="1" applyBorder="1" applyAlignment="1">
      <alignment vertical="center"/>
    </xf>
    <xf numFmtId="3" fontId="5" fillId="2" borderId="7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5" fillId="3" borderId="7" xfId="0" applyNumberFormat="1" applyFont="1" applyFill="1" applyBorder="1"/>
    <xf numFmtId="0" fontId="4" fillId="2" borderId="0" xfId="0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3" fontId="5" fillId="2" borderId="25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166" fontId="5" fillId="3" borderId="36" xfId="13" applyNumberFormat="1" applyFont="1" applyFill="1" applyBorder="1"/>
    <xf numFmtId="2" fontId="5" fillId="3" borderId="36" xfId="13" applyNumberFormat="1" applyFont="1" applyFill="1" applyBorder="1"/>
    <xf numFmtId="1" fontId="5" fillId="3" borderId="36" xfId="13" applyNumberFormat="1" applyFont="1" applyFill="1" applyBorder="1"/>
    <xf numFmtId="166" fontId="8" fillId="3" borderId="1" xfId="13" applyNumberFormat="1" applyFont="1" applyFill="1" applyBorder="1"/>
    <xf numFmtId="3" fontId="5" fillId="3" borderId="16" xfId="0" applyNumberFormat="1" applyFont="1" applyFill="1" applyBorder="1" applyAlignment="1">
      <alignment vertical="center" wrapText="1"/>
    </xf>
    <xf numFmtId="3" fontId="5" fillId="3" borderId="36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10" fontId="5" fillId="2" borderId="12" xfId="6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vertical="center"/>
    </xf>
    <xf numFmtId="3" fontId="8" fillId="3" borderId="14" xfId="0" applyNumberFormat="1" applyFont="1" applyFill="1" applyBorder="1" applyAlignment="1">
      <alignment vertical="center"/>
    </xf>
    <xf numFmtId="3" fontId="5" fillId="3" borderId="39" xfId="0" applyNumberFormat="1" applyFont="1" applyFill="1" applyBorder="1"/>
    <xf numFmtId="3" fontId="5" fillId="3" borderId="61" xfId="0" applyNumberFormat="1" applyFont="1" applyFill="1" applyBorder="1"/>
    <xf numFmtId="3" fontId="5" fillId="3" borderId="61" xfId="0" applyNumberFormat="1" applyFont="1" applyFill="1" applyBorder="1" applyAlignment="1">
      <alignment vertical="center"/>
    </xf>
    <xf numFmtId="3" fontId="8" fillId="3" borderId="12" xfId="0" applyNumberFormat="1" applyFont="1" applyFill="1" applyBorder="1"/>
    <xf numFmtId="3" fontId="5" fillId="8" borderId="3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vertical="center" wrapText="1"/>
    </xf>
    <xf numFmtId="10" fontId="5" fillId="2" borderId="12" xfId="0" applyNumberFormat="1" applyFont="1" applyFill="1" applyBorder="1" applyAlignment="1">
      <alignment vertical="center" wrapText="1"/>
    </xf>
    <xf numFmtId="3" fontId="5" fillId="3" borderId="12" xfId="0" applyNumberFormat="1" applyFont="1" applyFill="1" applyBorder="1"/>
    <xf numFmtId="3" fontId="12" fillId="8" borderId="3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3" fontId="5" fillId="8" borderId="7" xfId="0" applyNumberFormat="1" applyFont="1" applyFill="1" applyBorder="1" applyAlignment="1">
      <alignment vertical="center"/>
    </xf>
    <xf numFmtId="164" fontId="5" fillId="3" borderId="13" xfId="6" applyNumberFormat="1" applyFont="1" applyFill="1" applyBorder="1" applyAlignment="1">
      <alignment vertical="center"/>
    </xf>
    <xf numFmtId="166" fontId="5" fillId="3" borderId="7" xfId="13" applyNumberFormat="1" applyFont="1" applyFill="1" applyBorder="1"/>
    <xf numFmtId="166" fontId="8" fillId="3" borderId="11" xfId="13" applyNumberFormat="1" applyFont="1" applyFill="1" applyBorder="1"/>
    <xf numFmtId="0" fontId="19" fillId="2" borderId="2" xfId="0" applyFont="1" applyFill="1" applyBorder="1" applyAlignment="1">
      <alignment horizontal="center" vertical="center"/>
    </xf>
    <xf numFmtId="2" fontId="5" fillId="3" borderId="7" xfId="13" applyNumberFormat="1" applyFont="1" applyFill="1" applyBorder="1"/>
    <xf numFmtId="1" fontId="5" fillId="3" borderId="7" xfId="13" applyNumberFormat="1" applyFont="1" applyFill="1" applyBorder="1"/>
    <xf numFmtId="3" fontId="5" fillId="3" borderId="1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0" fontId="5" fillId="3" borderId="1" xfId="6" applyNumberFormat="1" applyFont="1" applyFill="1" applyBorder="1" applyAlignment="1">
      <alignment horizontal="center" vertical="center"/>
    </xf>
    <xf numFmtId="10" fontId="5" fillId="2" borderId="1" xfId="6" applyNumberFormat="1" applyFont="1" applyFill="1" applyBorder="1" applyAlignment="1">
      <alignment horizontal="center" vertical="center"/>
    </xf>
    <xf numFmtId="10" fontId="5" fillId="3" borderId="1" xfId="14" applyNumberFormat="1" applyFont="1" applyFill="1" applyBorder="1" applyAlignment="1">
      <alignment horizontal="center" vertical="center"/>
    </xf>
    <xf numFmtId="164" fontId="5" fillId="8" borderId="1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8" borderId="6" xfId="1" applyFont="1" applyFill="1" applyBorder="1" applyAlignment="1">
      <alignment horizontal="center" vertical="center" wrapText="1"/>
    </xf>
    <xf numFmtId="0" fontId="44" fillId="8" borderId="4" xfId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12" fillId="5" borderId="5" xfId="1" applyFont="1" applyFill="1" applyBorder="1" applyAlignment="1">
      <alignment horizontal="center" vertical="center" wrapText="1"/>
    </xf>
    <xf numFmtId="0" fontId="2" fillId="2" borderId="8" xfId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19" xfId="0" applyNumberFormat="1" applyFont="1" applyBorder="1" applyAlignment="1">
      <alignment horizont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8" fillId="2" borderId="12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5" fillId="0" borderId="44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wrapText="1"/>
    </xf>
    <xf numFmtId="0" fontId="8" fillId="2" borderId="18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44" fillId="8" borderId="2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2" fontId="5" fillId="0" borderId="5" xfId="0" applyNumberFormat="1" applyFont="1" applyBorder="1" applyAlignment="1">
      <alignment horizontal="center" wrapText="1"/>
    </xf>
    <xf numFmtId="2" fontId="5" fillId="0" borderId="56" xfId="0" applyNumberFormat="1" applyFont="1" applyBorder="1" applyAlignment="1">
      <alignment horizontal="center" wrapText="1"/>
    </xf>
    <xf numFmtId="2" fontId="5" fillId="0" borderId="57" xfId="0" applyNumberFormat="1" applyFont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4" fillId="8" borderId="5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/>
    </xf>
    <xf numFmtId="0" fontId="45" fillId="8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5" fillId="8" borderId="3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4" fillId="8" borderId="17" xfId="0" applyFont="1" applyFill="1" applyBorder="1" applyAlignment="1">
      <alignment horizontal="center" vertical="center" wrapText="1"/>
    </xf>
    <xf numFmtId="0" fontId="45" fillId="8" borderId="11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19" fillId="5" borderId="1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44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2" borderId="31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28" fillId="2" borderId="2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1" fillId="8" borderId="24" xfId="0" applyFont="1" applyFill="1" applyBorder="1" applyAlignment="1">
      <alignment horizontal="center" vertical="center" wrapText="1"/>
    </xf>
    <xf numFmtId="0" fontId="47" fillId="8" borderId="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4" fillId="8" borderId="10" xfId="0" applyFont="1" applyFill="1" applyBorder="1" applyAlignment="1">
      <alignment horizontal="right" vertical="center" wrapText="1"/>
    </xf>
    <xf numFmtId="0" fontId="35" fillId="8" borderId="20" xfId="0" applyFont="1" applyFill="1" applyBorder="1" applyAlignment="1">
      <alignment vertical="center" wrapText="1"/>
    </xf>
    <xf numFmtId="165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vertical="center" wrapText="1"/>
    </xf>
    <xf numFmtId="0" fontId="22" fillId="3" borderId="38" xfId="0" applyFont="1" applyFill="1" applyBorder="1" applyAlignment="1">
      <alignment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vertical="center" wrapText="1"/>
    </xf>
    <xf numFmtId="0" fontId="22" fillId="3" borderId="41" xfId="0" applyFont="1" applyFill="1" applyBorder="1" applyAlignment="1">
      <alignment vertical="center" wrapText="1"/>
    </xf>
    <xf numFmtId="2" fontId="38" fillId="0" borderId="0" xfId="0" applyNumberFormat="1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5">
    <cellStyle name="Comma" xfId="13" builtinId="3"/>
    <cellStyle name="Comma 2" xfId="8"/>
    <cellStyle name="Currency 2" xfId="9"/>
    <cellStyle name="Normal" xfId="0" builtinId="0"/>
    <cellStyle name="Normal 2" xfId="3"/>
    <cellStyle name="Normal 2 2" xfId="10"/>
    <cellStyle name="Normal 2 3" xfId="11"/>
    <cellStyle name="Normal 3" xfId="7"/>
    <cellStyle name="Normal 3 2" xfId="12"/>
    <cellStyle name="Normal 4" xfId="5"/>
    <cellStyle name="Normal 5" xfId="4"/>
    <cellStyle name="Normal 6" xfId="1"/>
    <cellStyle name="Percent" xfId="14" builtinId="5"/>
    <cellStyle name="Percent 2" xfId="6"/>
    <cellStyle name="Percent 3" xfId="2"/>
  </cellStyles>
  <dxfs count="0"/>
  <tableStyles count="0" defaultTableStyle="TableStyleMedium2" defaultPivotStyle="PivotStyleLight16"/>
  <colors>
    <mruColors>
      <color rgb="FFFFFFCC"/>
      <color rgb="FFF8F8F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kedonija%20Q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Q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Zoi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zivot%20Q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zivot%20Q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Viner%20zivot%20Q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zivot%20Q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zivot%20Q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PrvaZiv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SP%203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Q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roins%20Q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va%20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urolink%20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Q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Q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Osigpolisa%20Q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alk%20Q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4_NR"/>
      <sheetName val="STA_SP5_NR"/>
      <sheetName val="STA_SP8_NR"/>
      <sheetName val="STA_SP99"/>
      <sheetName val="DEC_SP - #5"/>
    </sheetNames>
    <sheetDataSet>
      <sheetData sheetId="0" refreshError="1"/>
      <sheetData sheetId="1">
        <row r="10">
          <cell r="C10">
            <v>23929</v>
          </cell>
          <cell r="D10">
            <v>65044.3</v>
          </cell>
          <cell r="F10">
            <v>248</v>
          </cell>
          <cell r="G10">
            <v>12954.55</v>
          </cell>
          <cell r="H10">
            <v>186</v>
          </cell>
          <cell r="I10">
            <v>12903.23</v>
          </cell>
        </row>
        <row r="20">
          <cell r="C20">
            <v>486</v>
          </cell>
          <cell r="D20">
            <v>90272.58</v>
          </cell>
          <cell r="F20">
            <v>4131</v>
          </cell>
          <cell r="G20">
            <v>43142.39</v>
          </cell>
          <cell r="H20">
            <v>220</v>
          </cell>
          <cell r="I20">
            <v>3266.45</v>
          </cell>
        </row>
        <row r="24">
          <cell r="C24">
            <v>1766</v>
          </cell>
          <cell r="D24">
            <v>49667.06</v>
          </cell>
          <cell r="F24">
            <v>208</v>
          </cell>
          <cell r="G24">
            <v>24604.19</v>
          </cell>
          <cell r="H24">
            <v>275</v>
          </cell>
          <cell r="I24">
            <v>35808.480000000003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46</v>
          </cell>
          <cell r="D36">
            <v>6789.88</v>
          </cell>
          <cell r="F36">
            <v>0</v>
          </cell>
          <cell r="G36">
            <v>0</v>
          </cell>
          <cell r="H36">
            <v>6</v>
          </cell>
          <cell r="I36">
            <v>790.46</v>
          </cell>
        </row>
        <row r="40">
          <cell r="C40">
            <v>4514</v>
          </cell>
          <cell r="D40">
            <v>91777.01</v>
          </cell>
          <cell r="F40">
            <v>21</v>
          </cell>
          <cell r="G40">
            <v>22960.25</v>
          </cell>
          <cell r="H40">
            <v>28</v>
          </cell>
          <cell r="I40">
            <v>317688.62</v>
          </cell>
        </row>
        <row r="56">
          <cell r="C56">
            <v>4997</v>
          </cell>
          <cell r="D56">
            <v>170586.86</v>
          </cell>
          <cell r="F56">
            <v>218</v>
          </cell>
          <cell r="G56">
            <v>30271.11</v>
          </cell>
          <cell r="H56">
            <v>230</v>
          </cell>
          <cell r="I56">
            <v>175818.52</v>
          </cell>
        </row>
        <row r="88">
          <cell r="C88">
            <v>34541</v>
          </cell>
          <cell r="D88">
            <v>209661.88</v>
          </cell>
          <cell r="F88">
            <v>1173</v>
          </cell>
          <cell r="G88">
            <v>88415.7</v>
          </cell>
          <cell r="H88">
            <v>1880</v>
          </cell>
          <cell r="I88">
            <v>316094.34999999998</v>
          </cell>
        </row>
        <row r="124">
          <cell r="C124">
            <v>5</v>
          </cell>
          <cell r="D124">
            <v>18.73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7</v>
          </cell>
          <cell r="D128">
            <v>21.66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1815</v>
          </cell>
          <cell r="D132">
            <v>13078.31</v>
          </cell>
          <cell r="F132">
            <v>13</v>
          </cell>
          <cell r="G132">
            <v>2233.7199999999998</v>
          </cell>
          <cell r="H132">
            <v>79</v>
          </cell>
          <cell r="I132">
            <v>26677.27</v>
          </cell>
        </row>
        <row r="153">
          <cell r="C153">
            <v>339</v>
          </cell>
          <cell r="D153">
            <v>2881.48</v>
          </cell>
          <cell r="F153">
            <v>0</v>
          </cell>
          <cell r="G153">
            <v>22.36</v>
          </cell>
          <cell r="H153">
            <v>1</v>
          </cell>
          <cell r="I153">
            <v>22.1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11</v>
          </cell>
          <cell r="D161">
            <v>1986.63</v>
          </cell>
          <cell r="F161">
            <v>9</v>
          </cell>
          <cell r="G161">
            <v>481.07</v>
          </cell>
          <cell r="H161">
            <v>3</v>
          </cell>
          <cell r="I161">
            <v>11007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6046</v>
          </cell>
          <cell r="D170">
            <v>4544.49</v>
          </cell>
          <cell r="F170">
            <v>73</v>
          </cell>
          <cell r="G170">
            <v>1494.9</v>
          </cell>
          <cell r="H170">
            <v>93</v>
          </cell>
          <cell r="I170">
            <v>2553.44</v>
          </cell>
        </row>
        <row r="175">
          <cell r="C175">
            <v>49592</v>
          </cell>
        </row>
      </sheetData>
      <sheetData sheetId="2">
        <row r="11">
          <cell r="C11">
            <v>21047</v>
          </cell>
          <cell r="D11">
            <v>116710.55</v>
          </cell>
          <cell r="J11">
            <v>958</v>
          </cell>
          <cell r="K11">
            <v>63194.07</v>
          </cell>
        </row>
        <row r="12">
          <cell r="C12">
            <v>2508</v>
          </cell>
          <cell r="D12">
            <v>28798.799999999999</v>
          </cell>
          <cell r="J12">
            <v>131</v>
          </cell>
          <cell r="K12">
            <v>10436.49</v>
          </cell>
        </row>
        <row r="13">
          <cell r="C13">
            <v>138</v>
          </cell>
          <cell r="D13">
            <v>2950.05</v>
          </cell>
          <cell r="J13">
            <v>24</v>
          </cell>
          <cell r="K13">
            <v>1865.52</v>
          </cell>
        </row>
        <row r="14">
          <cell r="C14">
            <v>920</v>
          </cell>
          <cell r="D14">
            <v>729.17</v>
          </cell>
          <cell r="J14">
            <v>2</v>
          </cell>
          <cell r="K14">
            <v>33.68</v>
          </cell>
        </row>
        <row r="15">
          <cell r="C15">
            <v>28</v>
          </cell>
          <cell r="D15">
            <v>58.14</v>
          </cell>
          <cell r="J15">
            <v>0</v>
          </cell>
          <cell r="K15">
            <v>479.89</v>
          </cell>
        </row>
        <row r="16">
          <cell r="C16">
            <v>1076</v>
          </cell>
          <cell r="D16">
            <v>1893.66</v>
          </cell>
          <cell r="J16">
            <v>12</v>
          </cell>
          <cell r="K16">
            <v>1852.29</v>
          </cell>
        </row>
        <row r="17">
          <cell r="C17">
            <v>793</v>
          </cell>
          <cell r="D17">
            <v>246.06</v>
          </cell>
          <cell r="J17">
            <v>0</v>
          </cell>
          <cell r="K17">
            <v>0</v>
          </cell>
        </row>
        <row r="18">
          <cell r="C18">
            <v>138</v>
          </cell>
          <cell r="D18">
            <v>471.9</v>
          </cell>
          <cell r="J18">
            <v>4</v>
          </cell>
          <cell r="K18">
            <v>354.7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30</v>
          </cell>
          <cell r="D23">
            <v>131.55000000000001</v>
          </cell>
          <cell r="J23">
            <v>0</v>
          </cell>
          <cell r="K23">
            <v>0</v>
          </cell>
        </row>
        <row r="25">
          <cell r="C25">
            <v>6626</v>
          </cell>
          <cell r="D25">
            <v>33839.440000000002</v>
          </cell>
          <cell r="J25">
            <v>18</v>
          </cell>
          <cell r="K25">
            <v>2824.58</v>
          </cell>
        </row>
        <row r="26">
          <cell r="C26">
            <v>399</v>
          </cell>
          <cell r="D26">
            <v>6832.65</v>
          </cell>
          <cell r="J26">
            <v>16</v>
          </cell>
          <cell r="K26">
            <v>4827.97</v>
          </cell>
        </row>
        <row r="27">
          <cell r="C27">
            <v>48</v>
          </cell>
          <cell r="D27">
            <v>815.87</v>
          </cell>
          <cell r="J27">
            <v>2</v>
          </cell>
          <cell r="K27">
            <v>263.85000000000002</v>
          </cell>
        </row>
        <row r="28">
          <cell r="C28">
            <v>1</v>
          </cell>
          <cell r="D28">
            <v>5.54</v>
          </cell>
          <cell r="J28">
            <v>0</v>
          </cell>
          <cell r="K28">
            <v>0</v>
          </cell>
        </row>
        <row r="29">
          <cell r="C29">
            <v>5</v>
          </cell>
          <cell r="D29">
            <v>27.68</v>
          </cell>
          <cell r="J29">
            <v>0</v>
          </cell>
          <cell r="K29">
            <v>0</v>
          </cell>
        </row>
        <row r="30">
          <cell r="C30">
            <v>99</v>
          </cell>
          <cell r="D30">
            <v>184.95</v>
          </cell>
          <cell r="J30">
            <v>0</v>
          </cell>
          <cell r="K30">
            <v>0</v>
          </cell>
        </row>
        <row r="31">
          <cell r="C31">
            <v>380</v>
          </cell>
          <cell r="D31">
            <v>2093.67</v>
          </cell>
          <cell r="J31">
            <v>1</v>
          </cell>
          <cell r="K31">
            <v>12.98</v>
          </cell>
        </row>
        <row r="32">
          <cell r="C32">
            <v>3</v>
          </cell>
          <cell r="D32">
            <v>16.61</v>
          </cell>
          <cell r="J32">
            <v>0</v>
          </cell>
          <cell r="K32">
            <v>0</v>
          </cell>
        </row>
        <row r="34">
          <cell r="C34">
            <v>55</v>
          </cell>
          <cell r="D34">
            <v>389.52</v>
          </cell>
          <cell r="J34">
            <v>5</v>
          </cell>
          <cell r="K34">
            <v>2269.6799999999998</v>
          </cell>
        </row>
        <row r="35">
          <cell r="C35">
            <v>1</v>
          </cell>
          <cell r="D35">
            <v>-0.01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4</v>
          </cell>
          <cell r="D40">
            <v>2.77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45531.01</v>
          </cell>
        </row>
        <row r="11">
          <cell r="P11">
            <v>63190.8</v>
          </cell>
        </row>
        <row r="12">
          <cell r="P12">
            <v>34766.94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4073.92</v>
          </cell>
        </row>
        <row r="17">
          <cell r="P17">
            <v>59655.05</v>
          </cell>
        </row>
        <row r="20">
          <cell r="P20">
            <v>110881.46</v>
          </cell>
        </row>
        <row r="26">
          <cell r="P26">
            <v>158954.69</v>
          </cell>
        </row>
        <row r="33">
          <cell r="P33">
            <v>12.17</v>
          </cell>
        </row>
        <row r="34">
          <cell r="P34">
            <v>14.08</v>
          </cell>
        </row>
        <row r="35">
          <cell r="P35">
            <v>8500.9</v>
          </cell>
        </row>
        <row r="36">
          <cell r="P36">
            <v>1872.96</v>
          </cell>
        </row>
        <row r="37">
          <cell r="P37">
            <v>0</v>
          </cell>
        </row>
        <row r="38">
          <cell r="P38">
            <v>1291.31</v>
          </cell>
        </row>
        <row r="39">
          <cell r="P39">
            <v>0</v>
          </cell>
        </row>
        <row r="40">
          <cell r="P40">
            <v>2525.4899999999998</v>
          </cell>
        </row>
      </sheetData>
      <sheetData sheetId="5">
        <row r="10">
          <cell r="C10">
            <v>81661.570000000007</v>
          </cell>
          <cell r="G10">
            <v>30560.83</v>
          </cell>
          <cell r="K10">
            <v>0</v>
          </cell>
        </row>
        <row r="11">
          <cell r="C11">
            <v>131038.67</v>
          </cell>
          <cell r="G11">
            <v>12940.1</v>
          </cell>
          <cell r="K11">
            <v>8651.19</v>
          </cell>
        </row>
        <row r="12">
          <cell r="C12">
            <v>103499.18</v>
          </cell>
          <cell r="G12">
            <v>14337.3</v>
          </cell>
          <cell r="K12">
            <v>4072.15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64.45</v>
          </cell>
          <cell r="G15">
            <v>0</v>
          </cell>
          <cell r="K15">
            <v>0</v>
          </cell>
        </row>
        <row r="16">
          <cell r="C16">
            <v>2927.48</v>
          </cell>
          <cell r="G16">
            <v>340.28</v>
          </cell>
          <cell r="K16">
            <v>0</v>
          </cell>
        </row>
        <row r="17">
          <cell r="C17">
            <v>125908.5</v>
          </cell>
          <cell r="G17">
            <v>19724.3</v>
          </cell>
          <cell r="K17">
            <v>0</v>
          </cell>
        </row>
        <row r="20">
          <cell r="C20">
            <v>227122.27</v>
          </cell>
          <cell r="G20">
            <v>10916.03</v>
          </cell>
          <cell r="K20">
            <v>0</v>
          </cell>
        </row>
        <row r="26">
          <cell r="C26">
            <v>433536.47</v>
          </cell>
          <cell r="G26">
            <v>287140.82</v>
          </cell>
          <cell r="K26">
            <v>0</v>
          </cell>
        </row>
        <row r="33">
          <cell r="C33">
            <v>24.15</v>
          </cell>
          <cell r="G33">
            <v>0</v>
          </cell>
          <cell r="K33">
            <v>0</v>
          </cell>
        </row>
        <row r="34">
          <cell r="C34">
            <v>243.95</v>
          </cell>
          <cell r="G34">
            <v>0</v>
          </cell>
          <cell r="K34">
            <v>0</v>
          </cell>
        </row>
        <row r="35">
          <cell r="C35">
            <v>30660.18</v>
          </cell>
          <cell r="G35">
            <v>8445.16</v>
          </cell>
          <cell r="K35">
            <v>0</v>
          </cell>
        </row>
        <row r="36">
          <cell r="C36">
            <v>25551.25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5449.92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4198.58</v>
          </cell>
          <cell r="G40">
            <v>1444.81</v>
          </cell>
          <cell r="K40">
            <v>0</v>
          </cell>
        </row>
        <row r="41">
          <cell r="C41">
            <v>1171886.6200000001</v>
          </cell>
          <cell r="D41">
            <v>6115.67</v>
          </cell>
          <cell r="E41">
            <v>902629.92</v>
          </cell>
          <cell r="G41">
            <v>385849.62</v>
          </cell>
          <cell r="I41">
            <v>14173.28</v>
          </cell>
          <cell r="K41">
            <v>12723.34</v>
          </cell>
          <cell r="M41">
            <v>0</v>
          </cell>
        </row>
      </sheetData>
      <sheetData sheetId="6">
        <row r="9">
          <cell r="C9">
            <v>2017</v>
          </cell>
          <cell r="D9">
            <v>169339.43</v>
          </cell>
        </row>
        <row r="18">
          <cell r="C18">
            <v>6504</v>
          </cell>
          <cell r="D18">
            <v>178123.96</v>
          </cell>
          <cell r="E18">
            <v>34617.97</v>
          </cell>
        </row>
        <row r="19">
          <cell r="C19">
            <v>14667</v>
          </cell>
          <cell r="D19">
            <v>163359.51</v>
          </cell>
          <cell r="E19">
            <v>38677.949999999997</v>
          </cell>
        </row>
        <row r="20">
          <cell r="C20">
            <v>274</v>
          </cell>
          <cell r="D20">
            <v>57.08</v>
          </cell>
          <cell r="E20">
            <v>17.12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1301</v>
          </cell>
          <cell r="D22">
            <v>25721.31</v>
          </cell>
          <cell r="E22">
            <v>5355.75</v>
          </cell>
        </row>
        <row r="29">
          <cell r="C29">
            <v>24829</v>
          </cell>
          <cell r="D29">
            <v>169729.73</v>
          </cell>
          <cell r="E29">
            <v>46627.8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31559</v>
          </cell>
          <cell r="D10">
            <v>44629</v>
          </cell>
          <cell r="F10">
            <v>332</v>
          </cell>
          <cell r="G10">
            <v>15234</v>
          </cell>
          <cell r="H10">
            <v>385</v>
          </cell>
          <cell r="I10">
            <v>8677</v>
          </cell>
        </row>
        <row r="20">
          <cell r="C20">
            <v>506</v>
          </cell>
          <cell r="D20">
            <v>129427</v>
          </cell>
          <cell r="F20">
            <v>4943</v>
          </cell>
          <cell r="G20">
            <v>45750</v>
          </cell>
          <cell r="H20">
            <v>746</v>
          </cell>
          <cell r="I20">
            <v>14125</v>
          </cell>
        </row>
        <row r="24">
          <cell r="C24">
            <v>1447</v>
          </cell>
          <cell r="D24">
            <v>48241</v>
          </cell>
          <cell r="F24">
            <v>179</v>
          </cell>
          <cell r="G24">
            <v>19757</v>
          </cell>
          <cell r="H24">
            <v>349</v>
          </cell>
          <cell r="I24">
            <v>28037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4</v>
          </cell>
          <cell r="D36">
            <v>929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5718</v>
          </cell>
          <cell r="D40">
            <v>19685</v>
          </cell>
          <cell r="F40">
            <v>11</v>
          </cell>
          <cell r="G40">
            <v>680</v>
          </cell>
          <cell r="H40">
            <v>19</v>
          </cell>
          <cell r="I40">
            <v>40136</v>
          </cell>
        </row>
        <row r="56">
          <cell r="C56">
            <v>5373</v>
          </cell>
          <cell r="D56">
            <v>34164</v>
          </cell>
          <cell r="F56">
            <v>76</v>
          </cell>
          <cell r="G56">
            <v>4843</v>
          </cell>
          <cell r="H56">
            <v>63</v>
          </cell>
          <cell r="I56">
            <v>6173</v>
          </cell>
        </row>
        <row r="88">
          <cell r="C88">
            <v>30146</v>
          </cell>
          <cell r="D88">
            <v>166943</v>
          </cell>
          <cell r="F88">
            <v>811</v>
          </cell>
          <cell r="G88">
            <v>65878</v>
          </cell>
          <cell r="H88">
            <v>1269</v>
          </cell>
          <cell r="I88">
            <v>229448</v>
          </cell>
        </row>
        <row r="124">
          <cell r="C124">
            <v>2</v>
          </cell>
          <cell r="D124">
            <v>248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</v>
          </cell>
          <cell r="D128">
            <v>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5349</v>
          </cell>
          <cell r="D132">
            <v>6822</v>
          </cell>
          <cell r="F132">
            <v>12</v>
          </cell>
          <cell r="G132">
            <v>735</v>
          </cell>
          <cell r="H132">
            <v>3</v>
          </cell>
          <cell r="I132">
            <v>62</v>
          </cell>
        </row>
        <row r="153">
          <cell r="C153">
            <v>656</v>
          </cell>
          <cell r="D153">
            <v>3510</v>
          </cell>
          <cell r="F153">
            <v>0</v>
          </cell>
          <cell r="G153">
            <v>1</v>
          </cell>
          <cell r="H153">
            <v>3</v>
          </cell>
          <cell r="I153">
            <v>60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5</v>
          </cell>
          <cell r="D161">
            <v>263</v>
          </cell>
          <cell r="F161">
            <v>0</v>
          </cell>
          <cell r="G161">
            <v>0</v>
          </cell>
          <cell r="H161">
            <v>1</v>
          </cell>
          <cell r="I161">
            <v>799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5895</v>
          </cell>
          <cell r="D170">
            <v>6171</v>
          </cell>
          <cell r="F170">
            <v>75</v>
          </cell>
          <cell r="G170">
            <v>1542</v>
          </cell>
          <cell r="H170">
            <v>158</v>
          </cell>
          <cell r="I170">
            <v>2389</v>
          </cell>
        </row>
        <row r="175">
          <cell r="C175">
            <v>56416</v>
          </cell>
        </row>
      </sheetData>
      <sheetData sheetId="2">
        <row r="11">
          <cell r="C11">
            <v>18835</v>
          </cell>
          <cell r="D11">
            <v>106919</v>
          </cell>
          <cell r="J11">
            <v>680</v>
          </cell>
          <cell r="K11">
            <v>47350</v>
          </cell>
        </row>
        <row r="12">
          <cell r="C12">
            <v>1857</v>
          </cell>
          <cell r="D12">
            <v>18899</v>
          </cell>
          <cell r="J12">
            <v>79</v>
          </cell>
          <cell r="K12">
            <v>5282</v>
          </cell>
        </row>
        <row r="13">
          <cell r="C13">
            <v>58</v>
          </cell>
          <cell r="D13">
            <v>1100</v>
          </cell>
          <cell r="J13">
            <v>2</v>
          </cell>
          <cell r="K13">
            <v>243</v>
          </cell>
        </row>
        <row r="14">
          <cell r="C14">
            <v>817</v>
          </cell>
          <cell r="D14">
            <v>675</v>
          </cell>
          <cell r="J14">
            <v>0</v>
          </cell>
          <cell r="K14">
            <v>0</v>
          </cell>
        </row>
        <row r="15">
          <cell r="C15">
            <v>23</v>
          </cell>
          <cell r="D15">
            <v>79</v>
          </cell>
          <cell r="J15">
            <v>1</v>
          </cell>
          <cell r="K15">
            <v>15</v>
          </cell>
        </row>
        <row r="16">
          <cell r="C16">
            <v>1215</v>
          </cell>
          <cell r="D16">
            <v>2205</v>
          </cell>
          <cell r="J16">
            <v>5</v>
          </cell>
          <cell r="K16">
            <v>1276</v>
          </cell>
        </row>
        <row r="17">
          <cell r="C17">
            <v>498</v>
          </cell>
          <cell r="D17">
            <v>154</v>
          </cell>
          <cell r="J17">
            <v>0</v>
          </cell>
          <cell r="K17">
            <v>0</v>
          </cell>
        </row>
        <row r="18">
          <cell r="C18">
            <v>64</v>
          </cell>
          <cell r="D18">
            <v>235</v>
          </cell>
          <cell r="J18">
            <v>3</v>
          </cell>
          <cell r="K18">
            <v>72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1</v>
          </cell>
          <cell r="D23">
            <v>4</v>
          </cell>
          <cell r="J23">
            <v>0</v>
          </cell>
          <cell r="K23">
            <v>0</v>
          </cell>
        </row>
        <row r="25">
          <cell r="C25">
            <v>6101</v>
          </cell>
          <cell r="D25">
            <v>28735</v>
          </cell>
          <cell r="J25">
            <v>21</v>
          </cell>
          <cell r="K25">
            <v>8239</v>
          </cell>
        </row>
        <row r="26">
          <cell r="C26">
            <v>236</v>
          </cell>
          <cell r="D26">
            <v>3751</v>
          </cell>
          <cell r="J26">
            <v>17</v>
          </cell>
          <cell r="K26">
            <v>3081</v>
          </cell>
        </row>
        <row r="27">
          <cell r="C27">
            <v>12</v>
          </cell>
          <cell r="D27">
            <v>173</v>
          </cell>
          <cell r="J27">
            <v>1</v>
          </cell>
          <cell r="K27">
            <v>254</v>
          </cell>
        </row>
        <row r="28">
          <cell r="C28">
            <v>1</v>
          </cell>
          <cell r="D28">
            <v>6</v>
          </cell>
          <cell r="J28">
            <v>0</v>
          </cell>
          <cell r="K28">
            <v>0</v>
          </cell>
        </row>
        <row r="29">
          <cell r="C29">
            <v>3</v>
          </cell>
          <cell r="D29">
            <v>17</v>
          </cell>
          <cell r="J29">
            <v>0</v>
          </cell>
          <cell r="K29">
            <v>0</v>
          </cell>
        </row>
        <row r="30">
          <cell r="C30">
            <v>112</v>
          </cell>
          <cell r="D30">
            <v>190</v>
          </cell>
          <cell r="J30">
            <v>1</v>
          </cell>
          <cell r="K30">
            <v>12</v>
          </cell>
        </row>
        <row r="31">
          <cell r="C31">
            <v>202</v>
          </cell>
          <cell r="D31">
            <v>1061</v>
          </cell>
          <cell r="J31">
            <v>0</v>
          </cell>
          <cell r="K31">
            <v>0</v>
          </cell>
        </row>
        <row r="32">
          <cell r="C32">
            <v>1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13</v>
          </cell>
          <cell r="D34">
            <v>141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1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2</v>
          </cell>
          <cell r="D39">
            <v>7</v>
          </cell>
          <cell r="J39">
            <v>0</v>
          </cell>
          <cell r="K39">
            <v>0</v>
          </cell>
        </row>
        <row r="40">
          <cell r="C40">
            <v>1</v>
          </cell>
          <cell r="D40">
            <v>1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31240</v>
          </cell>
        </row>
        <row r="11">
          <cell r="P11">
            <v>90599</v>
          </cell>
        </row>
        <row r="12">
          <cell r="P12">
            <v>33769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650</v>
          </cell>
        </row>
        <row r="17">
          <cell r="P17">
            <v>13780</v>
          </cell>
        </row>
        <row r="20">
          <cell r="P20">
            <v>23915</v>
          </cell>
        </row>
        <row r="26">
          <cell r="P26">
            <v>128367</v>
          </cell>
        </row>
        <row r="33">
          <cell r="P33">
            <v>198</v>
          </cell>
        </row>
        <row r="34">
          <cell r="P34">
            <v>4</v>
          </cell>
        </row>
        <row r="35">
          <cell r="P35">
            <v>4775</v>
          </cell>
        </row>
        <row r="36">
          <cell r="P36">
            <v>1790</v>
          </cell>
        </row>
        <row r="37">
          <cell r="P37">
            <v>0</v>
          </cell>
        </row>
        <row r="38">
          <cell r="P38">
            <v>171</v>
          </cell>
        </row>
        <row r="39">
          <cell r="P39">
            <v>0</v>
          </cell>
        </row>
        <row r="40">
          <cell r="P40">
            <v>3394</v>
          </cell>
        </row>
      </sheetData>
      <sheetData sheetId="5">
        <row r="10">
          <cell r="C10">
            <v>83777</v>
          </cell>
          <cell r="G10">
            <v>32153</v>
          </cell>
          <cell r="K10">
            <v>0</v>
          </cell>
        </row>
        <row r="11">
          <cell r="C11">
            <v>142617</v>
          </cell>
          <cell r="G11">
            <v>8265</v>
          </cell>
          <cell r="K11">
            <v>0</v>
          </cell>
        </row>
        <row r="12">
          <cell r="C12">
            <v>82603</v>
          </cell>
          <cell r="G12">
            <v>9550</v>
          </cell>
          <cell r="K12">
            <v>261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8925</v>
          </cell>
          <cell r="G14">
            <v>0</v>
          </cell>
          <cell r="K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16">
          <cell r="C16">
            <v>2228</v>
          </cell>
          <cell r="G16">
            <v>1894</v>
          </cell>
          <cell r="K16">
            <v>0</v>
          </cell>
        </row>
        <row r="17">
          <cell r="C17">
            <v>39388</v>
          </cell>
          <cell r="G17">
            <v>3339</v>
          </cell>
          <cell r="K17">
            <v>0</v>
          </cell>
        </row>
        <row r="20">
          <cell r="C20">
            <v>28336</v>
          </cell>
          <cell r="G20">
            <v>2283</v>
          </cell>
          <cell r="K20">
            <v>0</v>
          </cell>
        </row>
        <row r="26">
          <cell r="C26">
            <v>341300</v>
          </cell>
          <cell r="G26">
            <v>399007</v>
          </cell>
          <cell r="K26">
            <v>0</v>
          </cell>
        </row>
        <row r="33">
          <cell r="C33">
            <v>1240</v>
          </cell>
          <cell r="G33">
            <v>0</v>
          </cell>
          <cell r="K33">
            <v>0</v>
          </cell>
        </row>
        <row r="34">
          <cell r="C34">
            <v>76</v>
          </cell>
          <cell r="G34">
            <v>0</v>
          </cell>
          <cell r="K34">
            <v>0</v>
          </cell>
        </row>
        <row r="35">
          <cell r="C35">
            <v>12411</v>
          </cell>
          <cell r="G35">
            <v>1045</v>
          </cell>
          <cell r="K35">
            <v>0</v>
          </cell>
        </row>
        <row r="36">
          <cell r="C36">
            <v>10281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434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8641</v>
          </cell>
          <cell r="G40">
            <v>2620</v>
          </cell>
          <cell r="K40">
            <v>0</v>
          </cell>
        </row>
        <row r="41">
          <cell r="C41">
            <v>762257</v>
          </cell>
          <cell r="D41">
            <v>16528</v>
          </cell>
          <cell r="E41">
            <v>329906</v>
          </cell>
          <cell r="G41">
            <v>460156</v>
          </cell>
          <cell r="I41">
            <v>20308</v>
          </cell>
          <cell r="K41">
            <v>261</v>
          </cell>
          <cell r="M41">
            <v>0</v>
          </cell>
        </row>
      </sheetData>
      <sheetData sheetId="6">
        <row r="9">
          <cell r="C9">
            <v>20595</v>
          </cell>
          <cell r="D9">
            <v>249002</v>
          </cell>
        </row>
        <row r="18">
          <cell r="C18">
            <v>17718</v>
          </cell>
          <cell r="D18">
            <v>151999</v>
          </cell>
          <cell r="E18">
            <v>41553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108</v>
          </cell>
          <cell r="D20">
            <v>280</v>
          </cell>
          <cell r="E20">
            <v>95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15892</v>
          </cell>
          <cell r="D22">
            <v>24299</v>
          </cell>
          <cell r="E22">
            <v>9392</v>
          </cell>
        </row>
        <row r="29">
          <cell r="C29">
            <v>1635</v>
          </cell>
          <cell r="D29">
            <v>28417</v>
          </cell>
          <cell r="E29">
            <v>18007.599999999999</v>
          </cell>
        </row>
        <row r="38">
          <cell r="C38">
            <v>468</v>
          </cell>
          <cell r="D38">
            <v>7040</v>
          </cell>
          <cell r="E38">
            <v>1824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VS_VS1_NO"/>
      <sheetName val="VS_VS2"/>
      <sheetName val="SUP_MS_NO"/>
      <sheetName val="SUP_KS"/>
      <sheetName val="SUP_VTR"/>
      <sheetName val="RR_REO_01"/>
      <sheetName val="RR_REO_02"/>
      <sheetName val="RR_REO_03"/>
      <sheetName val="RR_REO_04"/>
      <sheetName val="DEC_SP-#1"/>
      <sheetName val="DEC_SP-#2"/>
      <sheetName val="DEC_SP-#3"/>
      <sheetName val="DEC_SP-#4"/>
      <sheetName val="DEC_SP-#5"/>
      <sheetName val="DEC_SP-#6"/>
    </sheetNames>
    <sheetDataSet>
      <sheetData sheetId="0" refreshError="1"/>
      <sheetData sheetId="1">
        <row r="10">
          <cell r="C10">
            <v>0</v>
          </cell>
          <cell r="D10">
            <v>0</v>
          </cell>
          <cell r="F10">
            <v>1</v>
          </cell>
          <cell r="G10">
            <v>55</v>
          </cell>
          <cell r="H10">
            <v>3</v>
          </cell>
          <cell r="I10">
            <v>123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0</v>
          </cell>
          <cell r="D24">
            <v>0</v>
          </cell>
          <cell r="F24">
            <v>4</v>
          </cell>
          <cell r="G24">
            <v>1722.41</v>
          </cell>
          <cell r="H24">
            <v>10</v>
          </cell>
          <cell r="I24">
            <v>680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56"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88">
          <cell r="C88">
            <v>37</v>
          </cell>
          <cell r="D88">
            <v>85.51</v>
          </cell>
          <cell r="F88">
            <v>59</v>
          </cell>
          <cell r="G88">
            <v>4597.55</v>
          </cell>
          <cell r="H88">
            <v>114</v>
          </cell>
          <cell r="I88">
            <v>9101.19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5">
          <cell r="C175">
            <v>37</v>
          </cell>
        </row>
      </sheetData>
      <sheetData sheetId="2">
        <row r="11">
          <cell r="C11">
            <v>0</v>
          </cell>
          <cell r="D11">
            <v>0</v>
          </cell>
          <cell r="J11">
            <v>51</v>
          </cell>
          <cell r="K11">
            <v>3991.4</v>
          </cell>
        </row>
        <row r="12">
          <cell r="C12">
            <v>0</v>
          </cell>
          <cell r="D12">
            <v>0</v>
          </cell>
          <cell r="J12">
            <v>4</v>
          </cell>
          <cell r="K12">
            <v>250.41</v>
          </cell>
        </row>
        <row r="13">
          <cell r="C13">
            <v>0</v>
          </cell>
          <cell r="D13">
            <v>0</v>
          </cell>
          <cell r="J13">
            <v>0</v>
          </cell>
          <cell r="K13">
            <v>0</v>
          </cell>
        </row>
        <row r="14">
          <cell r="C14">
            <v>0</v>
          </cell>
          <cell r="D14">
            <v>0</v>
          </cell>
          <cell r="J14">
            <v>0</v>
          </cell>
          <cell r="K14">
            <v>0</v>
          </cell>
        </row>
        <row r="15">
          <cell r="C15">
            <v>0</v>
          </cell>
          <cell r="D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  <cell r="D16">
            <v>0</v>
          </cell>
          <cell r="J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J17">
            <v>0</v>
          </cell>
          <cell r="K17">
            <v>0</v>
          </cell>
        </row>
        <row r="18">
          <cell r="C18">
            <v>0</v>
          </cell>
          <cell r="D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35</v>
          </cell>
          <cell r="D25">
            <v>68.290000000000006</v>
          </cell>
          <cell r="J25">
            <v>2</v>
          </cell>
          <cell r="K25">
            <v>248.65</v>
          </cell>
        </row>
        <row r="26">
          <cell r="C26">
            <v>2</v>
          </cell>
          <cell r="D26">
            <v>17.22</v>
          </cell>
          <cell r="J26">
            <v>2</v>
          </cell>
          <cell r="K26">
            <v>107.09</v>
          </cell>
        </row>
        <row r="27">
          <cell r="C27">
            <v>0</v>
          </cell>
          <cell r="D27">
            <v>0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J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0</v>
          </cell>
          <cell r="D34">
            <v>0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20">
          <cell r="P20">
            <v>0</v>
          </cell>
        </row>
        <row r="26">
          <cell r="P26">
            <v>65.77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</sheetData>
      <sheetData sheetId="5">
        <row r="10">
          <cell r="C10">
            <v>128.41999999999999</v>
          </cell>
          <cell r="G10">
            <v>865.93</v>
          </cell>
          <cell r="K10">
            <v>54.21</v>
          </cell>
        </row>
        <row r="11">
          <cell r="C11">
            <v>0</v>
          </cell>
          <cell r="G11">
            <v>0</v>
          </cell>
          <cell r="K11">
            <v>0</v>
          </cell>
        </row>
        <row r="12">
          <cell r="C12">
            <v>369.15</v>
          </cell>
          <cell r="G12">
            <v>4962.3500000000004</v>
          </cell>
          <cell r="K12">
            <v>548.46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16">
          <cell r="C16">
            <v>0</v>
          </cell>
          <cell r="G16">
            <v>0</v>
          </cell>
          <cell r="K16">
            <v>0</v>
          </cell>
        </row>
        <row r="17">
          <cell r="C17">
            <v>19.649999999999999</v>
          </cell>
          <cell r="G17">
            <v>254.5</v>
          </cell>
          <cell r="K17">
            <v>6.97</v>
          </cell>
        </row>
        <row r="20">
          <cell r="C20">
            <v>3.54</v>
          </cell>
          <cell r="G20">
            <v>115.44</v>
          </cell>
          <cell r="K20">
            <v>6.53</v>
          </cell>
        </row>
        <row r="26">
          <cell r="C26">
            <v>4460.21</v>
          </cell>
          <cell r="G26">
            <v>29533.48</v>
          </cell>
          <cell r="K26">
            <v>2981.33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0</v>
          </cell>
          <cell r="G34">
            <v>0</v>
          </cell>
          <cell r="K34">
            <v>0</v>
          </cell>
        </row>
        <row r="35">
          <cell r="C35">
            <v>7.39</v>
          </cell>
          <cell r="G35">
            <v>22.81</v>
          </cell>
          <cell r="K35">
            <v>0.14000000000000001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0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2.8</v>
          </cell>
          <cell r="G40">
            <v>60.21</v>
          </cell>
          <cell r="K40">
            <v>19.510000000000002</v>
          </cell>
        </row>
        <row r="41">
          <cell r="C41">
            <v>4991.16</v>
          </cell>
          <cell r="D41">
            <v>0</v>
          </cell>
          <cell r="E41">
            <v>9904.19</v>
          </cell>
          <cell r="G41">
            <v>35814.71</v>
          </cell>
          <cell r="I41">
            <v>228.59</v>
          </cell>
          <cell r="K41">
            <v>3617.15</v>
          </cell>
          <cell r="M41">
            <v>0</v>
          </cell>
        </row>
      </sheetData>
      <sheetData sheetId="6">
        <row r="9">
          <cell r="C9">
            <v>12</v>
          </cell>
          <cell r="D9">
            <v>41.21</v>
          </cell>
        </row>
        <row r="18">
          <cell r="C18">
            <v>25</v>
          </cell>
          <cell r="D18">
            <v>44.3</v>
          </cell>
          <cell r="E18">
            <v>19.16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0</v>
          </cell>
          <cell r="D29">
            <v>0</v>
          </cell>
          <cell r="E29">
            <v>21.15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VU_MR - 807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1313</v>
          </cell>
          <cell r="J51">
            <v>236495</v>
          </cell>
          <cell r="Q51">
            <v>133999</v>
          </cell>
        </row>
      </sheetData>
      <sheetData sheetId="2">
        <row r="51">
          <cell r="G51">
            <v>141</v>
          </cell>
          <cell r="H51">
            <v>184</v>
          </cell>
          <cell r="L51">
            <v>627</v>
          </cell>
          <cell r="N51">
            <v>67</v>
          </cell>
          <cell r="O51">
            <v>132738</v>
          </cell>
        </row>
      </sheetData>
      <sheetData sheetId="3"/>
      <sheetData sheetId="4"/>
      <sheetData sheetId="5">
        <row r="51">
          <cell r="C51">
            <v>18976</v>
          </cell>
          <cell r="D51">
            <v>3730031</v>
          </cell>
          <cell r="E51">
            <v>490199</v>
          </cell>
          <cell r="F51">
            <v>0</v>
          </cell>
          <cell r="G51">
            <v>21126</v>
          </cell>
          <cell r="H51">
            <v>7236</v>
          </cell>
          <cell r="J51">
            <v>1102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OfContents"/>
      <sheetName val="Header"/>
      <sheetName val="STA_SP1_ZO"/>
      <sheetName val="STA_SP2_ZO"/>
      <sheetName val="STA_SP2_RS_ZO"/>
      <sheetName val="STA_SP3_ZO"/>
      <sheetName val="STA_SP4_ZO"/>
      <sheetName val="STA_SP4_VU_MR - 807"/>
      <sheetName val="STA_SP4_RS_ZO"/>
      <sheetName val="STA_SP6_ZO"/>
      <sheetName val="STA_SP7_ZO"/>
      <sheetName val="STA_SP8_Z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SUPFIN_SVlPR"/>
      <sheetName val="VS_VS1_ZO"/>
      <sheetName val="VS_VS2"/>
      <sheetName val="SUP_MS_ZO"/>
      <sheetName val="SUP_KS"/>
      <sheetName val="SUP_VTR"/>
      <sheetName val="SUP_VMR - 1"/>
      <sheetName val="RR_REO_01 - 01,02,19,21"/>
      <sheetName val="DEC_SP - FI"/>
      <sheetName val="DEC_SP - RI"/>
      <sheetName val="DEC_SP - SI"/>
      <sheetName val="DEC_SP - SP"/>
      <sheetName val="DEC_SP - VBS"/>
      <sheetName val="DEC_SP - DFI"/>
    </sheetNames>
    <sheetDataSet>
      <sheetData sheetId="0"/>
      <sheetData sheetId="1"/>
      <sheetData sheetId="2">
        <row r="51">
          <cell r="I51">
            <v>575</v>
          </cell>
          <cell r="J51">
            <v>115350</v>
          </cell>
          <cell r="Q51">
            <v>92046</v>
          </cell>
        </row>
      </sheetData>
      <sheetData sheetId="3">
        <row r="51">
          <cell r="G51">
            <v>180</v>
          </cell>
          <cell r="H51">
            <v>75</v>
          </cell>
          <cell r="L51">
            <v>291</v>
          </cell>
          <cell r="N51">
            <v>96</v>
          </cell>
          <cell r="O51">
            <v>67980</v>
          </cell>
        </row>
      </sheetData>
      <sheetData sheetId="4"/>
      <sheetData sheetId="5"/>
      <sheetData sheetId="6">
        <row r="51">
          <cell r="C51">
            <v>13064</v>
          </cell>
          <cell r="D51">
            <v>3413375</v>
          </cell>
          <cell r="E51">
            <v>190216</v>
          </cell>
          <cell r="F51">
            <v>114020</v>
          </cell>
          <cell r="G51">
            <v>50154</v>
          </cell>
          <cell r="H51">
            <v>9580</v>
          </cell>
          <cell r="J51">
            <v>593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ZO"/>
      <sheetName val="STA_SP2_ZO"/>
      <sheetName val="STA_SP2_RS_ZO"/>
      <sheetName val="STA_SP3_ZO"/>
      <sheetName val="STA_SP4_ZO"/>
      <sheetName val="STA_SP4_VU_MR - 807"/>
      <sheetName val="STA_SP4_VU_MR - 978"/>
      <sheetName val="STA_SP4_RS_ZO"/>
      <sheetName val="STA_SP6_ZO"/>
      <sheetName val="STA_SP7_ZO"/>
      <sheetName val="STA_SP8_ZO"/>
      <sheetName val="STA_SP99"/>
      <sheetName val="TableOfContents"/>
      <sheetName val="Header"/>
      <sheetName val="FIN_BS"/>
      <sheetName val="DEC_SP - FI"/>
      <sheetName val="DEC_SP - RI"/>
      <sheetName val="DEC_SP - SI"/>
      <sheetName val="DEC_SP - SP"/>
      <sheetName val="DEC_SP - VBS"/>
      <sheetName val="DEC_SP - DFI"/>
    </sheetNames>
    <sheetDataSet>
      <sheetData sheetId="0">
        <row r="51">
          <cell r="I51">
            <v>648</v>
          </cell>
          <cell r="J51">
            <v>174654</v>
          </cell>
          <cell r="Q51">
            <v>139093.45000000001</v>
          </cell>
        </row>
      </sheetData>
      <sheetData sheetId="1">
        <row r="51">
          <cell r="G51">
            <v>30</v>
          </cell>
          <cell r="H51">
            <v>3</v>
          </cell>
          <cell r="L51">
            <v>237</v>
          </cell>
          <cell r="O51">
            <v>52631.99</v>
          </cell>
        </row>
      </sheetData>
      <sheetData sheetId="2"/>
      <sheetData sheetId="3"/>
      <sheetData sheetId="4">
        <row r="51">
          <cell r="C51">
            <v>6455.18</v>
          </cell>
          <cell r="D51">
            <v>801171</v>
          </cell>
          <cell r="E51">
            <v>1360932.22</v>
          </cell>
          <cell r="F51">
            <v>0</v>
          </cell>
          <cell r="G51">
            <v>9297.24</v>
          </cell>
          <cell r="H51">
            <v>13502.75</v>
          </cell>
          <cell r="J51">
            <v>4800.43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VU_MR - 807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6122</v>
          </cell>
          <cell r="J51">
            <v>96107</v>
          </cell>
          <cell r="Q51">
            <v>85468</v>
          </cell>
        </row>
      </sheetData>
      <sheetData sheetId="2">
        <row r="51">
          <cell r="G51">
            <v>23</v>
          </cell>
          <cell r="H51">
            <v>31</v>
          </cell>
          <cell r="L51">
            <v>127</v>
          </cell>
          <cell r="N51">
            <v>0</v>
          </cell>
          <cell r="O51">
            <v>18769</v>
          </cell>
        </row>
      </sheetData>
      <sheetData sheetId="3"/>
      <sheetData sheetId="4"/>
      <sheetData sheetId="5">
        <row r="51">
          <cell r="C51">
            <v>4076</v>
          </cell>
          <cell r="D51">
            <v>580915</v>
          </cell>
          <cell r="E51">
            <v>445093</v>
          </cell>
          <cell r="F51">
            <v>0</v>
          </cell>
          <cell r="G51">
            <v>10927</v>
          </cell>
          <cell r="H51">
            <v>2029</v>
          </cell>
          <cell r="J51">
            <v>1176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OfContents"/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/>
      <sheetData sheetId="2">
        <row r="51">
          <cell r="I51">
            <v>1930</v>
          </cell>
          <cell r="J51">
            <v>219162.59</v>
          </cell>
          <cell r="Q51">
            <v>188789.24</v>
          </cell>
        </row>
      </sheetData>
      <sheetData sheetId="3">
        <row r="51">
          <cell r="G51">
            <v>18</v>
          </cell>
          <cell r="H51">
            <v>0</v>
          </cell>
          <cell r="L51">
            <v>278</v>
          </cell>
          <cell r="N51">
            <v>0</v>
          </cell>
          <cell r="O51">
            <v>70235.83</v>
          </cell>
        </row>
      </sheetData>
      <sheetData sheetId="4"/>
      <sheetData sheetId="5"/>
      <sheetData sheetId="6">
        <row r="51">
          <cell r="C51">
            <v>964.23</v>
          </cell>
          <cell r="D51">
            <v>803256.07</v>
          </cell>
          <cell r="E51">
            <v>436213.41</v>
          </cell>
          <cell r="F51">
            <v>0</v>
          </cell>
          <cell r="G51">
            <v>3707.81</v>
          </cell>
          <cell r="H51">
            <v>1867.5</v>
          </cell>
          <cell r="J51">
            <v>255.57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</sheetNames>
    <sheetDataSet>
      <sheetData sheetId="0"/>
      <sheetData sheetId="1">
        <row r="51">
          <cell r="I51">
            <v>215</v>
          </cell>
          <cell r="J51">
            <v>11466.48</v>
          </cell>
          <cell r="Q51">
            <v>5508.99</v>
          </cell>
        </row>
      </sheetData>
      <sheetData sheetId="2">
        <row r="51">
          <cell r="G51">
            <v>3</v>
          </cell>
          <cell r="H51">
            <v>0</v>
          </cell>
          <cell r="L51">
            <v>4</v>
          </cell>
          <cell r="N51">
            <v>0</v>
          </cell>
          <cell r="O51">
            <v>696.47</v>
          </cell>
        </row>
      </sheetData>
      <sheetData sheetId="3"/>
      <sheetData sheetId="4"/>
      <sheetData sheetId="5">
        <row r="51">
          <cell r="C51">
            <v>1020.06</v>
          </cell>
          <cell r="D51">
            <v>11601.46</v>
          </cell>
          <cell r="E51">
            <v>13768.38</v>
          </cell>
          <cell r="F51">
            <v>0</v>
          </cell>
          <cell r="G51">
            <v>187.55</v>
          </cell>
          <cell r="H51">
            <v>216.89</v>
          </cell>
          <cell r="J51">
            <v>2.0299999999999998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donija"/>
      <sheetName val="Triglav"/>
      <sheetName val="Euroins"/>
      <sheetName val="Sava"/>
      <sheetName val="Winner"/>
      <sheetName val="Eurolink"/>
      <sheetName val="Grawe"/>
      <sheetName val="Uniqa"/>
      <sheetName val="Polisa"/>
      <sheetName val="Halk"/>
      <sheetName val="Croatia"/>
      <sheetName val="Zoil"/>
      <sheetName val="Vkup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2">
          <cell r="C12">
            <v>86</v>
          </cell>
          <cell r="D12">
            <v>9927.3999999999978</v>
          </cell>
          <cell r="F12">
            <v>584</v>
          </cell>
          <cell r="G12">
            <v>155648.72</v>
          </cell>
        </row>
        <row r="21">
          <cell r="C21">
            <v>16</v>
          </cell>
          <cell r="D21">
            <v>2412.71</v>
          </cell>
          <cell r="F21">
            <v>178</v>
          </cell>
          <cell r="G21">
            <v>44469.59</v>
          </cell>
        </row>
        <row r="22">
          <cell r="C22">
            <v>145</v>
          </cell>
          <cell r="D22">
            <v>24901.940000000002</v>
          </cell>
          <cell r="F22">
            <v>708</v>
          </cell>
          <cell r="G22">
            <v>173847.42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4"/>
    </sheetNames>
    <sheetDataSet>
      <sheetData sheetId="0" refreshError="1"/>
      <sheetData sheetId="1">
        <row r="10">
          <cell r="C10">
            <v>26875</v>
          </cell>
          <cell r="D10">
            <v>83421.8</v>
          </cell>
          <cell r="F10">
            <v>219</v>
          </cell>
          <cell r="G10">
            <v>9410.2999999999993</v>
          </cell>
          <cell r="H10">
            <v>212</v>
          </cell>
          <cell r="I10">
            <v>15121.37</v>
          </cell>
        </row>
        <row r="20">
          <cell r="C20">
            <v>8706</v>
          </cell>
          <cell r="D20">
            <v>118035.98</v>
          </cell>
          <cell r="F20">
            <v>3644</v>
          </cell>
          <cell r="G20">
            <v>42065.63</v>
          </cell>
          <cell r="H20">
            <v>779</v>
          </cell>
          <cell r="I20">
            <v>17198.66</v>
          </cell>
        </row>
        <row r="24">
          <cell r="C24">
            <v>1717</v>
          </cell>
          <cell r="D24">
            <v>46637.45</v>
          </cell>
          <cell r="F24">
            <v>245</v>
          </cell>
          <cell r="G24">
            <v>16274.31</v>
          </cell>
          <cell r="H24">
            <v>338</v>
          </cell>
          <cell r="I24">
            <v>38751.69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33.130000000000003</v>
          </cell>
          <cell r="H30">
            <v>1</v>
          </cell>
          <cell r="I30">
            <v>480256.06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184</v>
          </cell>
          <cell r="D36">
            <v>7698.76</v>
          </cell>
          <cell r="F36">
            <v>1</v>
          </cell>
          <cell r="G36">
            <v>92.33</v>
          </cell>
          <cell r="H36">
            <v>2</v>
          </cell>
          <cell r="I36">
            <v>53680</v>
          </cell>
        </row>
        <row r="40">
          <cell r="C40">
            <v>5138</v>
          </cell>
          <cell r="D40">
            <v>46007.56</v>
          </cell>
          <cell r="F40">
            <v>13</v>
          </cell>
          <cell r="G40">
            <v>1916.2</v>
          </cell>
          <cell r="H40">
            <v>36</v>
          </cell>
          <cell r="I40">
            <v>22695.11</v>
          </cell>
        </row>
        <row r="56">
          <cell r="C56">
            <v>5776</v>
          </cell>
          <cell r="D56">
            <v>58428.92</v>
          </cell>
          <cell r="F56">
            <v>250</v>
          </cell>
          <cell r="G56">
            <v>8709.85</v>
          </cell>
          <cell r="H56">
            <v>139</v>
          </cell>
          <cell r="I56">
            <v>9843.52</v>
          </cell>
        </row>
        <row r="88">
          <cell r="C88">
            <v>18471</v>
          </cell>
          <cell r="D88">
            <v>105851.72</v>
          </cell>
          <cell r="F88">
            <v>615</v>
          </cell>
          <cell r="G88">
            <v>49705.2</v>
          </cell>
          <cell r="H88">
            <v>1053</v>
          </cell>
          <cell r="I88">
            <v>286273.57</v>
          </cell>
        </row>
        <row r="124">
          <cell r="C124">
            <v>60</v>
          </cell>
          <cell r="D124">
            <v>100.98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6</v>
          </cell>
          <cell r="I128">
            <v>6255</v>
          </cell>
        </row>
        <row r="132">
          <cell r="C132">
            <v>3873</v>
          </cell>
          <cell r="D132">
            <v>18096.419999999998</v>
          </cell>
          <cell r="F132">
            <v>1</v>
          </cell>
          <cell r="G132">
            <v>4.5</v>
          </cell>
          <cell r="H132">
            <v>13</v>
          </cell>
          <cell r="I132">
            <v>7189.3</v>
          </cell>
        </row>
        <row r="153">
          <cell r="C153">
            <v>770</v>
          </cell>
          <cell r="D153">
            <v>1490.99</v>
          </cell>
          <cell r="F153">
            <v>9</v>
          </cell>
          <cell r="G153">
            <v>215.13</v>
          </cell>
          <cell r="H153">
            <v>20</v>
          </cell>
          <cell r="I153">
            <v>7000.85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21</v>
          </cell>
          <cell r="D161">
            <v>22406.78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15646</v>
          </cell>
          <cell r="D170">
            <v>10695.32</v>
          </cell>
          <cell r="F170">
            <v>264</v>
          </cell>
          <cell r="G170">
            <v>5417.85</v>
          </cell>
          <cell r="H170">
            <v>183</v>
          </cell>
          <cell r="I170">
            <v>8979.82</v>
          </cell>
        </row>
        <row r="175">
          <cell r="C175">
            <v>51531</v>
          </cell>
        </row>
      </sheetData>
      <sheetData sheetId="2">
        <row r="11">
          <cell r="C11">
            <v>10565</v>
          </cell>
          <cell r="D11">
            <v>58673.51</v>
          </cell>
          <cell r="J11">
            <v>501</v>
          </cell>
          <cell r="K11">
            <v>36792.42</v>
          </cell>
        </row>
        <row r="12">
          <cell r="C12">
            <v>1193</v>
          </cell>
          <cell r="D12">
            <v>13773.74</v>
          </cell>
          <cell r="J12">
            <v>68</v>
          </cell>
          <cell r="K12">
            <v>3239.21</v>
          </cell>
        </row>
        <row r="13">
          <cell r="C13">
            <v>83</v>
          </cell>
          <cell r="D13">
            <v>1611.63</v>
          </cell>
          <cell r="J13">
            <v>3</v>
          </cell>
          <cell r="K13">
            <v>133.15</v>
          </cell>
        </row>
        <row r="14">
          <cell r="C14">
            <v>578</v>
          </cell>
          <cell r="D14">
            <v>472.13</v>
          </cell>
          <cell r="J14">
            <v>0</v>
          </cell>
          <cell r="K14">
            <v>0</v>
          </cell>
        </row>
        <row r="15">
          <cell r="C15">
            <v>8</v>
          </cell>
          <cell r="D15">
            <v>23.88</v>
          </cell>
          <cell r="J15">
            <v>1</v>
          </cell>
          <cell r="K15">
            <v>6.54</v>
          </cell>
        </row>
        <row r="16">
          <cell r="C16">
            <v>634</v>
          </cell>
          <cell r="D16">
            <v>1063.24</v>
          </cell>
          <cell r="J16">
            <v>4</v>
          </cell>
          <cell r="K16">
            <v>196.57</v>
          </cell>
        </row>
        <row r="17">
          <cell r="C17">
            <v>464</v>
          </cell>
          <cell r="D17">
            <v>146.19</v>
          </cell>
          <cell r="J17">
            <v>0</v>
          </cell>
          <cell r="K17">
            <v>0</v>
          </cell>
        </row>
        <row r="18">
          <cell r="C18">
            <v>33</v>
          </cell>
          <cell r="D18">
            <v>143.28</v>
          </cell>
          <cell r="J18">
            <v>1</v>
          </cell>
          <cell r="K18">
            <v>65.31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4047</v>
          </cell>
          <cell r="D25">
            <v>19091.7</v>
          </cell>
          <cell r="J25">
            <v>8</v>
          </cell>
          <cell r="K25">
            <v>1070.6199999999999</v>
          </cell>
        </row>
        <row r="26">
          <cell r="C26">
            <v>297</v>
          </cell>
          <cell r="D26">
            <v>4505.4399999999996</v>
          </cell>
          <cell r="J26">
            <v>23</v>
          </cell>
          <cell r="K26">
            <v>6103.99</v>
          </cell>
        </row>
        <row r="27">
          <cell r="C27">
            <v>26</v>
          </cell>
          <cell r="D27">
            <v>397</v>
          </cell>
          <cell r="J27">
            <v>1</v>
          </cell>
          <cell r="K27">
            <v>254.82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3</v>
          </cell>
          <cell r="D29">
            <v>11.37</v>
          </cell>
          <cell r="J29">
            <v>0</v>
          </cell>
          <cell r="K29">
            <v>0</v>
          </cell>
        </row>
        <row r="30">
          <cell r="C30">
            <v>57</v>
          </cell>
          <cell r="D30">
            <v>97.7</v>
          </cell>
          <cell r="J30">
            <v>1</v>
          </cell>
          <cell r="K30">
            <v>830</v>
          </cell>
        </row>
        <row r="31">
          <cell r="C31">
            <v>290</v>
          </cell>
          <cell r="D31">
            <v>1485.01</v>
          </cell>
          <cell r="J31">
            <v>3</v>
          </cell>
          <cell r="K31">
            <v>734.61</v>
          </cell>
        </row>
        <row r="32">
          <cell r="C32">
            <v>1</v>
          </cell>
          <cell r="D32">
            <v>5.53</v>
          </cell>
          <cell r="J32">
            <v>0</v>
          </cell>
          <cell r="K32">
            <v>0</v>
          </cell>
        </row>
        <row r="34">
          <cell r="C34">
            <v>21</v>
          </cell>
          <cell r="D34">
            <v>134.68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</v>
          </cell>
          <cell r="D39">
            <v>13.53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59679.98</v>
          </cell>
        </row>
        <row r="11">
          <cell r="P11">
            <v>84442.95</v>
          </cell>
        </row>
        <row r="12">
          <cell r="P12">
            <v>32123.88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6421.54</v>
          </cell>
        </row>
        <row r="17">
          <cell r="P17">
            <v>26067.89</v>
          </cell>
        </row>
        <row r="20">
          <cell r="P20">
            <v>39439.53</v>
          </cell>
        </row>
        <row r="26">
          <cell r="P26">
            <v>81415.11</v>
          </cell>
        </row>
        <row r="33">
          <cell r="P33">
            <v>84.23</v>
          </cell>
        </row>
        <row r="34">
          <cell r="P34">
            <v>0</v>
          </cell>
        </row>
        <row r="35">
          <cell r="P35">
            <v>14272.69</v>
          </cell>
        </row>
        <row r="36">
          <cell r="P36">
            <v>894.59</v>
          </cell>
        </row>
        <row r="37">
          <cell r="P37">
            <v>0</v>
          </cell>
        </row>
        <row r="38">
          <cell r="P38">
            <v>17672.23</v>
          </cell>
        </row>
        <row r="39">
          <cell r="P39">
            <v>0</v>
          </cell>
        </row>
        <row r="40">
          <cell r="P40">
            <v>6417.2</v>
          </cell>
        </row>
      </sheetData>
      <sheetData sheetId="5">
        <row r="10">
          <cell r="C10">
            <v>32760.3</v>
          </cell>
          <cell r="G10">
            <v>19496.009999999998</v>
          </cell>
          <cell r="K10">
            <v>1168.8499999999999</v>
          </cell>
        </row>
        <row r="11">
          <cell r="C11">
            <v>126549.02</v>
          </cell>
          <cell r="G11">
            <v>15766.9</v>
          </cell>
          <cell r="K11">
            <v>13576.12</v>
          </cell>
        </row>
        <row r="12">
          <cell r="C12">
            <v>96999.23</v>
          </cell>
          <cell r="G12">
            <v>9785.18</v>
          </cell>
          <cell r="K12">
            <v>0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47.61</v>
          </cell>
          <cell r="G15">
            <v>0</v>
          </cell>
          <cell r="K15">
            <v>0</v>
          </cell>
        </row>
        <row r="16">
          <cell r="C16">
            <v>7996.64</v>
          </cell>
          <cell r="G16">
            <v>0</v>
          </cell>
          <cell r="K16">
            <v>0</v>
          </cell>
        </row>
        <row r="17">
          <cell r="C17">
            <v>62770.6</v>
          </cell>
          <cell r="G17">
            <v>4095.9</v>
          </cell>
          <cell r="K17">
            <v>0</v>
          </cell>
        </row>
        <row r="20">
          <cell r="C20">
            <v>88523.08</v>
          </cell>
          <cell r="G20">
            <v>2395.23</v>
          </cell>
          <cell r="K20">
            <v>0</v>
          </cell>
        </row>
        <row r="26">
          <cell r="C26">
            <v>229387.57</v>
          </cell>
          <cell r="G26">
            <v>226089.36</v>
          </cell>
          <cell r="K26">
            <v>0</v>
          </cell>
        </row>
        <row r="33">
          <cell r="C33">
            <v>171.52</v>
          </cell>
          <cell r="G33">
            <v>0</v>
          </cell>
          <cell r="K33">
            <v>0</v>
          </cell>
        </row>
        <row r="34">
          <cell r="C34">
            <v>94.46</v>
          </cell>
          <cell r="G34">
            <v>0</v>
          </cell>
          <cell r="K34">
            <v>0</v>
          </cell>
        </row>
        <row r="35">
          <cell r="C35">
            <v>24960.27</v>
          </cell>
          <cell r="G35">
            <v>837.5</v>
          </cell>
          <cell r="K35">
            <v>0</v>
          </cell>
        </row>
        <row r="36">
          <cell r="C36">
            <v>45232.36</v>
          </cell>
          <cell r="G36">
            <v>0</v>
          </cell>
          <cell r="K36">
            <v>613.23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22358.46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7789.08</v>
          </cell>
          <cell r="G40">
            <v>873.86</v>
          </cell>
          <cell r="K40">
            <v>2369.37</v>
          </cell>
        </row>
        <row r="41">
          <cell r="C41">
            <v>745640.2</v>
          </cell>
          <cell r="D41">
            <v>73083.66</v>
          </cell>
          <cell r="E41">
            <v>953244.95</v>
          </cell>
          <cell r="G41">
            <v>279339.94</v>
          </cell>
          <cell r="I41">
            <v>91633.68</v>
          </cell>
          <cell r="K41">
            <v>17727.57</v>
          </cell>
          <cell r="M41">
            <v>0</v>
          </cell>
        </row>
      </sheetData>
      <sheetData sheetId="6">
        <row r="9">
          <cell r="C9">
            <v>32034</v>
          </cell>
          <cell r="D9">
            <v>393267.61</v>
          </cell>
        </row>
        <row r="18">
          <cell r="C18">
            <v>14033</v>
          </cell>
          <cell r="D18">
            <v>109543.42</v>
          </cell>
          <cell r="E18">
            <v>26821</v>
          </cell>
        </row>
        <row r="19">
          <cell r="C19">
            <v>11</v>
          </cell>
          <cell r="D19">
            <v>121.34</v>
          </cell>
          <cell r="E19">
            <v>10.91</v>
          </cell>
        </row>
        <row r="20">
          <cell r="C20">
            <v>395</v>
          </cell>
          <cell r="D20">
            <v>506.1</v>
          </cell>
          <cell r="E20">
            <v>187.81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3017</v>
          </cell>
          <cell r="D22">
            <v>3762.89</v>
          </cell>
          <cell r="E22">
            <v>945.84</v>
          </cell>
        </row>
        <row r="29">
          <cell r="C29">
            <v>2041</v>
          </cell>
          <cell r="D29">
            <v>11671.58</v>
          </cell>
          <cell r="E29">
            <v>1885.96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6797</v>
          </cell>
          <cell r="D10">
            <v>6221</v>
          </cell>
          <cell r="F10">
            <v>68</v>
          </cell>
          <cell r="G10">
            <v>2518</v>
          </cell>
          <cell r="H10">
            <v>56</v>
          </cell>
          <cell r="I10">
            <v>3042</v>
          </cell>
        </row>
        <row r="20">
          <cell r="C20">
            <v>18</v>
          </cell>
          <cell r="D20">
            <v>14742</v>
          </cell>
          <cell r="F20">
            <v>300</v>
          </cell>
          <cell r="G20">
            <v>2744</v>
          </cell>
          <cell r="H20">
            <v>65</v>
          </cell>
          <cell r="I20">
            <v>2295</v>
          </cell>
        </row>
        <row r="24">
          <cell r="C24">
            <v>2680</v>
          </cell>
          <cell r="D24">
            <v>18492</v>
          </cell>
          <cell r="F24">
            <v>187</v>
          </cell>
          <cell r="G24">
            <v>10583</v>
          </cell>
          <cell r="H24">
            <v>172</v>
          </cell>
          <cell r="I24">
            <v>16591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</v>
          </cell>
          <cell r="D33">
            <v>48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100</v>
          </cell>
          <cell r="D36">
            <v>4568</v>
          </cell>
          <cell r="F36">
            <v>3</v>
          </cell>
          <cell r="G36">
            <v>111</v>
          </cell>
          <cell r="H36">
            <v>1</v>
          </cell>
          <cell r="I36">
            <v>47</v>
          </cell>
        </row>
        <row r="40">
          <cell r="C40">
            <v>1504</v>
          </cell>
          <cell r="D40">
            <v>8986</v>
          </cell>
          <cell r="F40">
            <v>3</v>
          </cell>
          <cell r="G40">
            <v>83</v>
          </cell>
          <cell r="H40">
            <v>4</v>
          </cell>
          <cell r="I40">
            <v>731</v>
          </cell>
        </row>
        <row r="56">
          <cell r="C56">
            <v>570</v>
          </cell>
          <cell r="D56">
            <v>5237</v>
          </cell>
          <cell r="F56">
            <v>68</v>
          </cell>
          <cell r="G56">
            <v>1654</v>
          </cell>
          <cell r="H56">
            <v>56</v>
          </cell>
          <cell r="I56">
            <v>10670</v>
          </cell>
        </row>
        <row r="88">
          <cell r="C88">
            <v>15222</v>
          </cell>
          <cell r="D88">
            <v>80612</v>
          </cell>
          <cell r="F88">
            <v>446</v>
          </cell>
          <cell r="G88">
            <v>31168</v>
          </cell>
          <cell r="H88">
            <v>683</v>
          </cell>
          <cell r="I88">
            <v>159992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</v>
          </cell>
          <cell r="D128">
            <v>0.02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482</v>
          </cell>
          <cell r="D132">
            <v>2123</v>
          </cell>
          <cell r="F132">
            <v>6</v>
          </cell>
          <cell r="G132">
            <v>180</v>
          </cell>
          <cell r="H132">
            <v>26</v>
          </cell>
          <cell r="I132">
            <v>10935</v>
          </cell>
        </row>
        <row r="153">
          <cell r="C153">
            <v>6</v>
          </cell>
          <cell r="D153">
            <v>18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3</v>
          </cell>
          <cell r="D158">
            <v>2182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</v>
          </cell>
          <cell r="D161">
            <v>3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2707</v>
          </cell>
          <cell r="D170">
            <v>1874</v>
          </cell>
          <cell r="F170">
            <v>31</v>
          </cell>
          <cell r="G170">
            <v>1327</v>
          </cell>
          <cell r="H170">
            <v>71</v>
          </cell>
          <cell r="I170">
            <v>1519</v>
          </cell>
        </row>
        <row r="175">
          <cell r="C175">
            <v>22683</v>
          </cell>
        </row>
      </sheetData>
      <sheetData sheetId="1">
        <row r="11">
          <cell r="C11">
            <v>7004</v>
          </cell>
          <cell r="D11">
            <v>41093</v>
          </cell>
          <cell r="J11">
            <v>362</v>
          </cell>
          <cell r="K11">
            <v>21419</v>
          </cell>
        </row>
        <row r="12">
          <cell r="C12">
            <v>733</v>
          </cell>
          <cell r="D12">
            <v>7900</v>
          </cell>
          <cell r="J12">
            <v>39</v>
          </cell>
          <cell r="K12">
            <v>3409</v>
          </cell>
        </row>
        <row r="13">
          <cell r="C13">
            <v>50</v>
          </cell>
          <cell r="D13">
            <v>1020</v>
          </cell>
          <cell r="J13">
            <v>4</v>
          </cell>
          <cell r="K13">
            <v>262</v>
          </cell>
        </row>
        <row r="14">
          <cell r="C14">
            <v>161</v>
          </cell>
          <cell r="D14">
            <v>123</v>
          </cell>
          <cell r="J14">
            <v>0</v>
          </cell>
          <cell r="K14">
            <v>0</v>
          </cell>
        </row>
        <row r="15">
          <cell r="C15">
            <v>30</v>
          </cell>
          <cell r="D15">
            <v>72</v>
          </cell>
          <cell r="J15">
            <v>1</v>
          </cell>
          <cell r="K15">
            <v>18</v>
          </cell>
        </row>
        <row r="16">
          <cell r="C16">
            <v>261</v>
          </cell>
          <cell r="D16">
            <v>544</v>
          </cell>
          <cell r="J16">
            <v>4</v>
          </cell>
          <cell r="K16">
            <v>94</v>
          </cell>
        </row>
        <row r="17">
          <cell r="C17">
            <v>198</v>
          </cell>
          <cell r="D17">
            <v>60</v>
          </cell>
          <cell r="J17">
            <v>0</v>
          </cell>
          <cell r="K17">
            <v>0</v>
          </cell>
        </row>
        <row r="18">
          <cell r="C18">
            <v>25</v>
          </cell>
          <cell r="D18">
            <v>83</v>
          </cell>
          <cell r="J18">
            <v>7</v>
          </cell>
          <cell r="K18">
            <v>193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2368</v>
          </cell>
          <cell r="D25">
            <v>11905</v>
          </cell>
          <cell r="J25">
            <v>11</v>
          </cell>
          <cell r="K25">
            <v>1598</v>
          </cell>
        </row>
        <row r="26">
          <cell r="C26">
            <v>116</v>
          </cell>
          <cell r="D26">
            <v>1986</v>
          </cell>
          <cell r="J26">
            <v>15</v>
          </cell>
          <cell r="K26">
            <v>3868</v>
          </cell>
        </row>
        <row r="27">
          <cell r="C27">
            <v>14</v>
          </cell>
          <cell r="D27">
            <v>241</v>
          </cell>
          <cell r="J27">
            <v>2</v>
          </cell>
          <cell r="K27">
            <v>178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32</v>
          </cell>
          <cell r="D30">
            <v>59</v>
          </cell>
          <cell r="J30">
            <v>0</v>
          </cell>
          <cell r="K30">
            <v>0</v>
          </cell>
        </row>
        <row r="31">
          <cell r="C31">
            <v>100</v>
          </cell>
          <cell r="D31">
            <v>554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3960</v>
          </cell>
          <cell r="D34">
            <v>12532</v>
          </cell>
          <cell r="J34">
            <v>0</v>
          </cell>
          <cell r="K34">
            <v>0</v>
          </cell>
        </row>
        <row r="35">
          <cell r="C35">
            <v>57</v>
          </cell>
          <cell r="D35">
            <v>524</v>
          </cell>
          <cell r="J35">
            <v>1</v>
          </cell>
          <cell r="K35">
            <v>119</v>
          </cell>
        </row>
        <row r="36">
          <cell r="C36">
            <v>3</v>
          </cell>
          <cell r="D36">
            <v>22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4</v>
          </cell>
          <cell r="D38">
            <v>45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26</v>
          </cell>
          <cell r="D40">
            <v>16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2" refreshError="1"/>
      <sheetData sheetId="3">
        <row r="10">
          <cell r="P10">
            <v>4355</v>
          </cell>
        </row>
        <row r="11">
          <cell r="P11">
            <v>10320</v>
          </cell>
        </row>
        <row r="12">
          <cell r="P12">
            <v>12019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31</v>
          </cell>
        </row>
        <row r="16">
          <cell r="P16">
            <v>3197</v>
          </cell>
        </row>
        <row r="17">
          <cell r="P17">
            <v>5391</v>
          </cell>
        </row>
        <row r="20">
          <cell r="P20">
            <v>3128</v>
          </cell>
        </row>
        <row r="26">
          <cell r="P26">
            <v>62072</v>
          </cell>
        </row>
        <row r="33">
          <cell r="P33">
            <v>0</v>
          </cell>
        </row>
        <row r="34">
          <cell r="P34">
            <v>0.01</v>
          </cell>
        </row>
        <row r="35">
          <cell r="P35">
            <v>1288</v>
          </cell>
        </row>
        <row r="36">
          <cell r="P36">
            <v>11</v>
          </cell>
        </row>
        <row r="37">
          <cell r="P37">
            <v>1418</v>
          </cell>
        </row>
        <row r="38">
          <cell r="P38">
            <v>2</v>
          </cell>
        </row>
        <row r="39">
          <cell r="P39">
            <v>0</v>
          </cell>
        </row>
        <row r="40">
          <cell r="P40">
            <v>1125</v>
          </cell>
        </row>
      </sheetData>
      <sheetData sheetId="4">
        <row r="10">
          <cell r="C10">
            <v>12164</v>
          </cell>
          <cell r="G10">
            <v>8586</v>
          </cell>
          <cell r="K10">
            <v>0</v>
          </cell>
        </row>
        <row r="11">
          <cell r="C11">
            <v>13481</v>
          </cell>
          <cell r="G11">
            <v>3258</v>
          </cell>
          <cell r="K11">
            <v>0</v>
          </cell>
        </row>
        <row r="12">
          <cell r="C12">
            <v>41572</v>
          </cell>
          <cell r="G12">
            <v>15322</v>
          </cell>
          <cell r="K12">
            <v>2196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50</v>
          </cell>
          <cell r="G15">
            <v>0</v>
          </cell>
          <cell r="K15">
            <v>0</v>
          </cell>
        </row>
        <row r="16">
          <cell r="C16">
            <v>749</v>
          </cell>
          <cell r="G16">
            <v>516</v>
          </cell>
          <cell r="K16">
            <v>0</v>
          </cell>
        </row>
        <row r="17">
          <cell r="C17">
            <v>24404</v>
          </cell>
          <cell r="G17">
            <v>587</v>
          </cell>
          <cell r="K17">
            <v>0</v>
          </cell>
        </row>
        <row r="20">
          <cell r="C20">
            <v>22430</v>
          </cell>
          <cell r="G20">
            <v>13138</v>
          </cell>
          <cell r="K20">
            <v>0</v>
          </cell>
        </row>
        <row r="26">
          <cell r="C26">
            <v>147775</v>
          </cell>
          <cell r="G26">
            <v>203079</v>
          </cell>
          <cell r="K26">
            <v>0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26</v>
          </cell>
          <cell r="G34">
            <v>0</v>
          </cell>
          <cell r="K34">
            <v>0</v>
          </cell>
        </row>
        <row r="35">
          <cell r="C35">
            <v>5902</v>
          </cell>
          <cell r="G35">
            <v>920</v>
          </cell>
          <cell r="K35">
            <v>0</v>
          </cell>
        </row>
        <row r="36">
          <cell r="C36">
            <v>24</v>
          </cell>
          <cell r="G36">
            <v>0</v>
          </cell>
          <cell r="K36">
            <v>0</v>
          </cell>
        </row>
        <row r="37">
          <cell r="C37">
            <v>914</v>
          </cell>
          <cell r="G37">
            <v>0</v>
          </cell>
          <cell r="K37">
            <v>0</v>
          </cell>
        </row>
        <row r="38">
          <cell r="C38">
            <v>63</v>
          </cell>
          <cell r="G38">
            <v>87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2433</v>
          </cell>
          <cell r="G40">
            <v>1845</v>
          </cell>
          <cell r="K40">
            <v>0</v>
          </cell>
        </row>
        <row r="41">
          <cell r="C41">
            <v>271987</v>
          </cell>
          <cell r="D41">
            <v>2403</v>
          </cell>
          <cell r="E41">
            <v>205822</v>
          </cell>
          <cell r="G41">
            <v>247338</v>
          </cell>
          <cell r="I41">
            <v>30471</v>
          </cell>
          <cell r="K41">
            <v>2196</v>
          </cell>
          <cell r="M41">
            <v>23000</v>
          </cell>
        </row>
      </sheetData>
      <sheetData sheetId="5">
        <row r="9">
          <cell r="C9">
            <v>2861</v>
          </cell>
          <cell r="D9">
            <v>31109</v>
          </cell>
        </row>
        <row r="18">
          <cell r="C18">
            <v>2870</v>
          </cell>
          <cell r="D18">
            <v>21629</v>
          </cell>
          <cell r="E18">
            <v>6016</v>
          </cell>
        </row>
        <row r="19">
          <cell r="C19">
            <v>3537</v>
          </cell>
          <cell r="D19">
            <v>19692</v>
          </cell>
          <cell r="E19">
            <v>5877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124</v>
          </cell>
          <cell r="D21">
            <v>1660</v>
          </cell>
          <cell r="E21">
            <v>283</v>
          </cell>
        </row>
        <row r="22">
          <cell r="C22">
            <v>733</v>
          </cell>
          <cell r="D22">
            <v>2265</v>
          </cell>
          <cell r="E22">
            <v>639</v>
          </cell>
        </row>
        <row r="29">
          <cell r="C29">
            <v>1406</v>
          </cell>
          <cell r="D29">
            <v>8222</v>
          </cell>
          <cell r="E29">
            <v>1474</v>
          </cell>
        </row>
        <row r="38">
          <cell r="C38">
            <v>11152</v>
          </cell>
          <cell r="D38">
            <v>60529</v>
          </cell>
          <cell r="E38">
            <v>13882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32756</v>
          </cell>
          <cell r="D10">
            <v>21295.18</v>
          </cell>
          <cell r="F10">
            <v>267</v>
          </cell>
          <cell r="G10">
            <v>5497.64</v>
          </cell>
          <cell r="H10">
            <v>142</v>
          </cell>
          <cell r="I10">
            <v>3458.62</v>
          </cell>
        </row>
        <row r="20">
          <cell r="C20">
            <v>2922</v>
          </cell>
          <cell r="D20">
            <v>31117.37</v>
          </cell>
          <cell r="F20">
            <v>1644</v>
          </cell>
          <cell r="G20">
            <v>23892.32</v>
          </cell>
          <cell r="H20">
            <v>567</v>
          </cell>
          <cell r="I20">
            <v>7712.54</v>
          </cell>
        </row>
        <row r="24">
          <cell r="C24">
            <v>2254</v>
          </cell>
          <cell r="D24">
            <v>67968.009999999995</v>
          </cell>
          <cell r="F24">
            <v>322</v>
          </cell>
          <cell r="G24">
            <v>37760.730000000003</v>
          </cell>
          <cell r="H24">
            <v>321</v>
          </cell>
          <cell r="I24">
            <v>45796.13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2</v>
          </cell>
          <cell r="D33">
            <v>88.63</v>
          </cell>
          <cell r="F33">
            <v>1</v>
          </cell>
          <cell r="G33">
            <v>7.64</v>
          </cell>
          <cell r="H33">
            <v>0</v>
          </cell>
          <cell r="I33">
            <v>0</v>
          </cell>
        </row>
        <row r="36">
          <cell r="C36">
            <v>78</v>
          </cell>
          <cell r="D36">
            <v>1884.29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7347</v>
          </cell>
          <cell r="D40">
            <v>38586.76</v>
          </cell>
          <cell r="F40">
            <v>36</v>
          </cell>
          <cell r="G40">
            <v>24808.71</v>
          </cell>
          <cell r="H40">
            <v>48</v>
          </cell>
          <cell r="I40">
            <v>8894.56</v>
          </cell>
        </row>
        <row r="56">
          <cell r="C56">
            <v>12704</v>
          </cell>
          <cell r="D56">
            <v>61753.7</v>
          </cell>
          <cell r="F56">
            <v>240</v>
          </cell>
          <cell r="G56">
            <v>17406.73</v>
          </cell>
          <cell r="H56">
            <v>175</v>
          </cell>
          <cell r="I56">
            <v>14037.42</v>
          </cell>
        </row>
        <row r="88">
          <cell r="C88">
            <v>21626</v>
          </cell>
          <cell r="D88">
            <v>131835.01</v>
          </cell>
          <cell r="F88">
            <v>688</v>
          </cell>
          <cell r="G88">
            <v>58678.61</v>
          </cell>
          <cell r="H88">
            <v>924</v>
          </cell>
          <cell r="I88">
            <v>224269.61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22</v>
          </cell>
          <cell r="D128">
            <v>62.32</v>
          </cell>
          <cell r="F128">
            <v>0</v>
          </cell>
          <cell r="G128">
            <v>0</v>
          </cell>
          <cell r="H128">
            <v>1</v>
          </cell>
          <cell r="I128">
            <v>150</v>
          </cell>
        </row>
        <row r="132">
          <cell r="C132">
            <v>4961</v>
          </cell>
          <cell r="D132">
            <v>9862.11</v>
          </cell>
          <cell r="F132">
            <v>18</v>
          </cell>
          <cell r="G132">
            <v>615.75</v>
          </cell>
          <cell r="H132">
            <v>27</v>
          </cell>
          <cell r="I132">
            <v>2189.6999999999998</v>
          </cell>
        </row>
        <row r="153">
          <cell r="C153">
            <v>11</v>
          </cell>
          <cell r="D153">
            <v>2028.28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1</v>
          </cell>
          <cell r="D158">
            <v>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144</v>
          </cell>
          <cell r="D161">
            <v>8176.1</v>
          </cell>
          <cell r="F161">
            <v>3</v>
          </cell>
          <cell r="G161">
            <v>1586.94</v>
          </cell>
          <cell r="H161">
            <v>6</v>
          </cell>
          <cell r="I161">
            <v>1801.11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17448</v>
          </cell>
          <cell r="D170">
            <v>10663.53</v>
          </cell>
          <cell r="F170">
            <v>158</v>
          </cell>
          <cell r="G170">
            <v>9912.74</v>
          </cell>
          <cell r="H170">
            <v>210</v>
          </cell>
          <cell r="I170">
            <v>7128.6</v>
          </cell>
        </row>
        <row r="175">
          <cell r="C175">
            <v>58051</v>
          </cell>
        </row>
      </sheetData>
      <sheetData sheetId="2">
        <row r="11">
          <cell r="C11">
            <v>11900</v>
          </cell>
          <cell r="D11">
            <v>70138.92</v>
          </cell>
          <cell r="J11">
            <v>518</v>
          </cell>
          <cell r="K11">
            <v>33742.949999999997</v>
          </cell>
        </row>
        <row r="12">
          <cell r="C12">
            <v>1780</v>
          </cell>
          <cell r="D12">
            <v>19427.71</v>
          </cell>
          <cell r="J12">
            <v>87</v>
          </cell>
          <cell r="K12">
            <v>15596.99</v>
          </cell>
        </row>
        <row r="13">
          <cell r="C13">
            <v>96</v>
          </cell>
          <cell r="D13">
            <v>2160.35</v>
          </cell>
          <cell r="J13">
            <v>2</v>
          </cell>
          <cell r="K13">
            <v>287.74</v>
          </cell>
        </row>
        <row r="14">
          <cell r="C14">
            <v>351</v>
          </cell>
          <cell r="D14">
            <v>303.18</v>
          </cell>
          <cell r="J14">
            <v>4</v>
          </cell>
          <cell r="K14">
            <v>75.209999999999994</v>
          </cell>
        </row>
        <row r="15">
          <cell r="C15">
            <v>23</v>
          </cell>
          <cell r="D15">
            <v>73.37</v>
          </cell>
          <cell r="J15">
            <v>0</v>
          </cell>
          <cell r="K15">
            <v>0.25</v>
          </cell>
        </row>
        <row r="16">
          <cell r="C16">
            <v>824</v>
          </cell>
          <cell r="D16">
            <v>1994.88</v>
          </cell>
          <cell r="J16">
            <v>8</v>
          </cell>
          <cell r="K16">
            <v>967</v>
          </cell>
        </row>
        <row r="17">
          <cell r="C17">
            <v>448</v>
          </cell>
          <cell r="D17">
            <v>142.72</v>
          </cell>
          <cell r="J17">
            <v>0</v>
          </cell>
          <cell r="K17">
            <v>0.48</v>
          </cell>
        </row>
        <row r="18">
          <cell r="C18">
            <v>69</v>
          </cell>
          <cell r="D18">
            <v>269.73</v>
          </cell>
          <cell r="J18">
            <v>1</v>
          </cell>
          <cell r="K18">
            <v>37.630000000000003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5072</v>
          </cell>
          <cell r="D25">
            <v>23749.8</v>
          </cell>
          <cell r="J25">
            <v>22</v>
          </cell>
          <cell r="K25">
            <v>1858.23</v>
          </cell>
        </row>
        <row r="26">
          <cell r="C26">
            <v>329</v>
          </cell>
          <cell r="D26">
            <v>4943.71</v>
          </cell>
          <cell r="J26">
            <v>31</v>
          </cell>
          <cell r="K26">
            <v>4729.2700000000004</v>
          </cell>
        </row>
        <row r="27">
          <cell r="C27">
            <v>58</v>
          </cell>
          <cell r="D27">
            <v>948.11</v>
          </cell>
          <cell r="J27">
            <v>6</v>
          </cell>
          <cell r="K27">
            <v>940.86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5.54</v>
          </cell>
          <cell r="J29">
            <v>0</v>
          </cell>
          <cell r="K29">
            <v>0</v>
          </cell>
        </row>
        <row r="30">
          <cell r="C30">
            <v>133</v>
          </cell>
          <cell r="D30">
            <v>228.7</v>
          </cell>
          <cell r="J30">
            <v>0</v>
          </cell>
          <cell r="K30">
            <v>0</v>
          </cell>
        </row>
        <row r="31">
          <cell r="C31">
            <v>275</v>
          </cell>
          <cell r="D31">
            <v>1364.72</v>
          </cell>
          <cell r="J31">
            <v>1</v>
          </cell>
          <cell r="K31">
            <v>66.31</v>
          </cell>
        </row>
        <row r="32">
          <cell r="C32">
            <v>1</v>
          </cell>
          <cell r="D32">
            <v>0.3</v>
          </cell>
          <cell r="J32">
            <v>0</v>
          </cell>
          <cell r="K32">
            <v>0</v>
          </cell>
        </row>
        <row r="34">
          <cell r="C34">
            <v>45</v>
          </cell>
          <cell r="D34">
            <v>307.57</v>
          </cell>
          <cell r="J34">
            <v>0</v>
          </cell>
          <cell r="K34">
            <v>0</v>
          </cell>
        </row>
        <row r="35">
          <cell r="C35">
            <v>1</v>
          </cell>
          <cell r="D35">
            <v>7.4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1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17775.07</v>
          </cell>
        </row>
        <row r="11">
          <cell r="P11">
            <v>25944.26</v>
          </cell>
        </row>
        <row r="12">
          <cell r="P12">
            <v>54379.54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70.900000000000006</v>
          </cell>
        </row>
        <row r="16">
          <cell r="P16">
            <v>1507.44</v>
          </cell>
        </row>
        <row r="17">
          <cell r="P17">
            <v>31120.31</v>
          </cell>
        </row>
        <row r="20">
          <cell r="P20">
            <v>50309.07</v>
          </cell>
        </row>
        <row r="26">
          <cell r="P26">
            <v>101416.54</v>
          </cell>
        </row>
        <row r="33">
          <cell r="P33">
            <v>0</v>
          </cell>
        </row>
        <row r="34">
          <cell r="P34">
            <v>51.93</v>
          </cell>
        </row>
        <row r="35">
          <cell r="P35">
            <v>8183.27</v>
          </cell>
        </row>
        <row r="36">
          <cell r="P36">
            <v>1419.77</v>
          </cell>
        </row>
        <row r="37">
          <cell r="P37">
            <v>3.33</v>
          </cell>
        </row>
        <row r="38">
          <cell r="P38">
            <v>6813.42</v>
          </cell>
        </row>
        <row r="39">
          <cell r="P39">
            <v>0</v>
          </cell>
        </row>
        <row r="40">
          <cell r="P40">
            <v>7172.47</v>
          </cell>
        </row>
      </sheetData>
      <sheetData sheetId="5">
        <row r="10">
          <cell r="C10">
            <v>30693.41</v>
          </cell>
          <cell r="G10">
            <v>15105.92</v>
          </cell>
          <cell r="K10">
            <v>0</v>
          </cell>
        </row>
        <row r="11">
          <cell r="C11">
            <v>60998.53</v>
          </cell>
          <cell r="G11">
            <v>9595.42</v>
          </cell>
          <cell r="K11">
            <v>10740.87</v>
          </cell>
        </row>
        <row r="12">
          <cell r="C12">
            <v>142409.4</v>
          </cell>
          <cell r="G12">
            <v>30954.11</v>
          </cell>
          <cell r="K12">
            <v>12664.44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271.32</v>
          </cell>
          <cell r="G15">
            <v>0</v>
          </cell>
          <cell r="K15">
            <v>0</v>
          </cell>
        </row>
        <row r="16">
          <cell r="C16">
            <v>2196.4299999999998</v>
          </cell>
          <cell r="G16">
            <v>0</v>
          </cell>
          <cell r="K16">
            <v>0</v>
          </cell>
        </row>
        <row r="17">
          <cell r="C17">
            <v>59754.37</v>
          </cell>
          <cell r="G17">
            <v>6250.26</v>
          </cell>
          <cell r="K17">
            <v>0</v>
          </cell>
        </row>
        <row r="20">
          <cell r="C20">
            <v>108978.43</v>
          </cell>
          <cell r="G20">
            <v>15675.79</v>
          </cell>
          <cell r="K20">
            <v>0</v>
          </cell>
        </row>
        <row r="26">
          <cell r="C26">
            <v>280102.52</v>
          </cell>
          <cell r="G26">
            <v>176033.83</v>
          </cell>
          <cell r="K26">
            <v>0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404.99</v>
          </cell>
          <cell r="G34">
            <v>0</v>
          </cell>
        </row>
        <row r="35">
          <cell r="C35">
            <v>12544.52</v>
          </cell>
          <cell r="G35">
            <v>200</v>
          </cell>
          <cell r="K35">
            <v>0</v>
          </cell>
        </row>
        <row r="36">
          <cell r="C36">
            <v>756.81</v>
          </cell>
          <cell r="G36">
            <v>0</v>
          </cell>
          <cell r="K36">
            <v>0</v>
          </cell>
        </row>
        <row r="37">
          <cell r="C37">
            <v>3.87</v>
          </cell>
          <cell r="G37">
            <v>0</v>
          </cell>
          <cell r="K37">
            <v>0</v>
          </cell>
        </row>
        <row r="38">
          <cell r="C38">
            <v>7224.51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4983.08</v>
          </cell>
          <cell r="G40">
            <v>3195.58</v>
          </cell>
          <cell r="K40">
            <v>0</v>
          </cell>
        </row>
        <row r="41">
          <cell r="C41">
            <v>711322.19</v>
          </cell>
          <cell r="D41">
            <v>10614.58</v>
          </cell>
          <cell r="E41">
            <v>315438.28999999998</v>
          </cell>
          <cell r="G41">
            <v>257010.92</v>
          </cell>
          <cell r="I41">
            <v>18318.36</v>
          </cell>
          <cell r="K41">
            <v>23405.31</v>
          </cell>
          <cell r="M41">
            <v>0</v>
          </cell>
        </row>
      </sheetData>
      <sheetData sheetId="6">
        <row r="9">
          <cell r="C9">
            <v>20912</v>
          </cell>
          <cell r="D9">
            <v>214328.17</v>
          </cell>
        </row>
        <row r="18">
          <cell r="C18">
            <v>9171</v>
          </cell>
          <cell r="D18">
            <v>79755.070000000007</v>
          </cell>
          <cell r="E18">
            <v>16186.79</v>
          </cell>
        </row>
        <row r="19">
          <cell r="C19">
            <v>929</v>
          </cell>
          <cell r="D19">
            <v>5173.3</v>
          </cell>
          <cell r="E19">
            <v>1170.19</v>
          </cell>
        </row>
        <row r="20">
          <cell r="C20">
            <v>761</v>
          </cell>
          <cell r="D20">
            <v>441.97</v>
          </cell>
          <cell r="E20">
            <v>132.58000000000001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11179</v>
          </cell>
          <cell r="D22">
            <v>16231.6</v>
          </cell>
          <cell r="E22">
            <v>5004.6099999999997</v>
          </cell>
        </row>
        <row r="29">
          <cell r="C29">
            <v>8175</v>
          </cell>
          <cell r="D29">
            <v>64454.55</v>
          </cell>
          <cell r="E29">
            <v>13508.63</v>
          </cell>
        </row>
        <row r="38">
          <cell r="C38">
            <v>6924</v>
          </cell>
          <cell r="D38">
            <v>4940.68</v>
          </cell>
          <cell r="E38">
            <v>480.83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14476</v>
          </cell>
          <cell r="D10">
            <v>53828.22</v>
          </cell>
          <cell r="F10">
            <v>337</v>
          </cell>
          <cell r="G10">
            <v>19234.84</v>
          </cell>
          <cell r="H10">
            <v>238</v>
          </cell>
          <cell r="I10">
            <v>10727.52</v>
          </cell>
        </row>
        <row r="20">
          <cell r="C20">
            <v>335</v>
          </cell>
          <cell r="D20">
            <v>59340.959999999999</v>
          </cell>
          <cell r="F20">
            <v>3272</v>
          </cell>
          <cell r="G20">
            <v>35098.68</v>
          </cell>
          <cell r="H20">
            <v>935</v>
          </cell>
          <cell r="I20">
            <v>22400.23</v>
          </cell>
        </row>
        <row r="24">
          <cell r="C24">
            <v>1387</v>
          </cell>
          <cell r="D24">
            <v>38363.61</v>
          </cell>
          <cell r="F24">
            <v>148</v>
          </cell>
          <cell r="G24">
            <v>17117.39</v>
          </cell>
          <cell r="H24">
            <v>352</v>
          </cell>
          <cell r="I24">
            <v>32937.15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7</v>
          </cell>
          <cell r="D30">
            <v>15474.36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137</v>
          </cell>
          <cell r="D36">
            <v>1366.1</v>
          </cell>
          <cell r="F36">
            <v>0</v>
          </cell>
          <cell r="G36">
            <v>0</v>
          </cell>
          <cell r="H36">
            <v>2</v>
          </cell>
          <cell r="I36">
            <v>24</v>
          </cell>
        </row>
        <row r="40">
          <cell r="C40">
            <v>3762</v>
          </cell>
          <cell r="D40">
            <v>41252.75</v>
          </cell>
          <cell r="F40">
            <v>85</v>
          </cell>
          <cell r="G40">
            <v>3145.6</v>
          </cell>
          <cell r="H40">
            <v>54</v>
          </cell>
          <cell r="I40">
            <v>34533.83</v>
          </cell>
        </row>
        <row r="56">
          <cell r="C56">
            <v>3264</v>
          </cell>
          <cell r="D56">
            <v>15324.19</v>
          </cell>
          <cell r="F56">
            <v>16</v>
          </cell>
          <cell r="G56">
            <v>626.76</v>
          </cell>
          <cell r="H56">
            <v>36</v>
          </cell>
          <cell r="I56">
            <v>9167.23</v>
          </cell>
        </row>
        <row r="88">
          <cell r="C88">
            <v>20502</v>
          </cell>
          <cell r="D88">
            <v>114742.49</v>
          </cell>
          <cell r="F88">
            <v>579</v>
          </cell>
          <cell r="G88">
            <v>41181.65</v>
          </cell>
          <cell r="H88">
            <v>1621</v>
          </cell>
          <cell r="I88">
            <v>254496.18</v>
          </cell>
        </row>
        <row r="124">
          <cell r="C124">
            <v>5</v>
          </cell>
          <cell r="D124">
            <v>2597.2600000000002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20</v>
          </cell>
          <cell r="D128">
            <v>52.2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3823</v>
          </cell>
          <cell r="D132">
            <v>17953.189999999999</v>
          </cell>
          <cell r="F132">
            <v>5</v>
          </cell>
          <cell r="G132">
            <v>338.74</v>
          </cell>
          <cell r="H132">
            <v>27</v>
          </cell>
          <cell r="I132">
            <v>3086.82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2</v>
          </cell>
          <cell r="D158">
            <v>1.19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245</v>
          </cell>
          <cell r="D161">
            <v>90.04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16617</v>
          </cell>
          <cell r="D170">
            <v>9937.36</v>
          </cell>
          <cell r="F170">
            <v>233</v>
          </cell>
          <cell r="G170">
            <v>4251.53</v>
          </cell>
          <cell r="H170">
            <v>103</v>
          </cell>
          <cell r="I170">
            <v>4953.8100000000004</v>
          </cell>
        </row>
        <row r="175">
          <cell r="C175">
            <v>43448</v>
          </cell>
        </row>
      </sheetData>
      <sheetData sheetId="1">
        <row r="11">
          <cell r="C11">
            <v>12240</v>
          </cell>
          <cell r="D11">
            <v>69707</v>
          </cell>
          <cell r="J11">
            <v>518</v>
          </cell>
          <cell r="K11">
            <v>37046.68</v>
          </cell>
        </row>
        <row r="12">
          <cell r="C12">
            <v>1167</v>
          </cell>
          <cell r="D12">
            <v>12809.42</v>
          </cell>
          <cell r="J12">
            <v>44</v>
          </cell>
          <cell r="K12">
            <v>2248.9299999999998</v>
          </cell>
        </row>
        <row r="13">
          <cell r="C13">
            <v>97</v>
          </cell>
          <cell r="D13">
            <v>1245.57</v>
          </cell>
          <cell r="J13">
            <v>2</v>
          </cell>
          <cell r="K13">
            <v>45.91</v>
          </cell>
        </row>
        <row r="14">
          <cell r="C14">
            <v>336</v>
          </cell>
          <cell r="D14">
            <v>276.16000000000003</v>
          </cell>
          <cell r="J14">
            <v>1</v>
          </cell>
          <cell r="K14">
            <v>36.22</v>
          </cell>
        </row>
        <row r="15">
          <cell r="C15">
            <v>15</v>
          </cell>
          <cell r="D15">
            <v>51.49</v>
          </cell>
          <cell r="J15">
            <v>0</v>
          </cell>
          <cell r="K15">
            <v>0</v>
          </cell>
        </row>
        <row r="16">
          <cell r="C16">
            <v>536</v>
          </cell>
          <cell r="D16">
            <v>868.93</v>
          </cell>
          <cell r="J16">
            <v>1</v>
          </cell>
          <cell r="K16">
            <v>30.43</v>
          </cell>
        </row>
        <row r="17">
          <cell r="C17">
            <v>300</v>
          </cell>
          <cell r="D17">
            <v>97.08</v>
          </cell>
          <cell r="J17">
            <v>0</v>
          </cell>
          <cell r="K17">
            <v>0</v>
          </cell>
        </row>
        <row r="18">
          <cell r="C18">
            <v>50</v>
          </cell>
          <cell r="D18">
            <v>273.67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355</v>
          </cell>
          <cell r="D21">
            <v>101.06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12</v>
          </cell>
          <cell r="D23">
            <v>105.06</v>
          </cell>
          <cell r="J23">
            <v>0</v>
          </cell>
          <cell r="K23">
            <v>0</v>
          </cell>
        </row>
        <row r="25">
          <cell r="C25">
            <v>4821</v>
          </cell>
          <cell r="D25">
            <v>23013.55</v>
          </cell>
          <cell r="J25">
            <v>6</v>
          </cell>
          <cell r="K25">
            <v>1111.9100000000001</v>
          </cell>
        </row>
        <row r="26">
          <cell r="C26">
            <v>161</v>
          </cell>
          <cell r="D26">
            <v>2411.08</v>
          </cell>
          <cell r="J26">
            <v>6</v>
          </cell>
          <cell r="K26">
            <v>547.29</v>
          </cell>
        </row>
        <row r="27">
          <cell r="C27">
            <v>90</v>
          </cell>
          <cell r="D27">
            <v>835.19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3</v>
          </cell>
          <cell r="D29">
            <v>16.61</v>
          </cell>
          <cell r="J29">
            <v>0</v>
          </cell>
          <cell r="K29">
            <v>0</v>
          </cell>
        </row>
        <row r="30">
          <cell r="C30">
            <v>46</v>
          </cell>
          <cell r="D30">
            <v>75.849999999999994</v>
          </cell>
          <cell r="J30">
            <v>0</v>
          </cell>
          <cell r="K30">
            <v>0</v>
          </cell>
        </row>
        <row r="31">
          <cell r="C31">
            <v>146</v>
          </cell>
          <cell r="D31">
            <v>747.36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36</v>
          </cell>
          <cell r="D34">
            <v>205.41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</v>
          </cell>
          <cell r="D39">
            <v>6.77</v>
          </cell>
          <cell r="J39">
            <v>0</v>
          </cell>
          <cell r="K39">
            <v>0</v>
          </cell>
        </row>
        <row r="40">
          <cell r="C40">
            <v>2</v>
          </cell>
          <cell r="D40">
            <v>1.23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2" refreshError="1"/>
      <sheetData sheetId="3">
        <row r="10">
          <cell r="P10">
            <v>39293.17</v>
          </cell>
        </row>
        <row r="11">
          <cell r="P11">
            <v>49846.41</v>
          </cell>
        </row>
        <row r="12">
          <cell r="P12">
            <v>32609.08</v>
          </cell>
        </row>
        <row r="13">
          <cell r="P13">
            <v>0</v>
          </cell>
        </row>
        <row r="14">
          <cell r="P14">
            <v>11605.77</v>
          </cell>
        </row>
        <row r="15">
          <cell r="P15">
            <v>0</v>
          </cell>
        </row>
        <row r="16">
          <cell r="P16">
            <v>1024.58</v>
          </cell>
        </row>
        <row r="17">
          <cell r="P17">
            <v>35064.83</v>
          </cell>
        </row>
        <row r="20">
          <cell r="P20">
            <v>13025.56</v>
          </cell>
        </row>
        <row r="26">
          <cell r="P26">
            <v>89.08</v>
          </cell>
        </row>
        <row r="33">
          <cell r="P33">
            <v>1947.95</v>
          </cell>
        </row>
        <row r="34">
          <cell r="P34">
            <v>39.67</v>
          </cell>
        </row>
        <row r="35">
          <cell r="P35">
            <v>14900</v>
          </cell>
        </row>
        <row r="36">
          <cell r="P36">
            <v>0</v>
          </cell>
        </row>
        <row r="37">
          <cell r="P37">
            <v>1.01</v>
          </cell>
        </row>
        <row r="38">
          <cell r="P38">
            <v>76.540000000000006</v>
          </cell>
        </row>
        <row r="39">
          <cell r="P39">
            <v>0</v>
          </cell>
        </row>
        <row r="40">
          <cell r="P40">
            <v>5465.55</v>
          </cell>
        </row>
      </sheetData>
      <sheetData sheetId="4">
        <row r="10">
          <cell r="C10">
            <v>61170.63</v>
          </cell>
          <cell r="G10">
            <v>27303.43</v>
          </cell>
          <cell r="K10">
            <v>4192.33</v>
          </cell>
        </row>
        <row r="11">
          <cell r="C11">
            <v>92333.79</v>
          </cell>
          <cell r="G11">
            <v>7597.98</v>
          </cell>
          <cell r="K11">
            <v>17734.95</v>
          </cell>
        </row>
        <row r="12">
          <cell r="C12">
            <v>79342.600000000006</v>
          </cell>
          <cell r="G12">
            <v>11034.82</v>
          </cell>
          <cell r="K12">
            <v>0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8.2899999999999991</v>
          </cell>
          <cell r="G15">
            <v>0</v>
          </cell>
          <cell r="K15">
            <v>0</v>
          </cell>
        </row>
        <row r="16">
          <cell r="C16">
            <v>470.86</v>
          </cell>
          <cell r="G16">
            <v>6.88</v>
          </cell>
          <cell r="K16">
            <v>0</v>
          </cell>
        </row>
        <row r="17">
          <cell r="C17">
            <v>367366.1</v>
          </cell>
          <cell r="G17">
            <v>22204.36</v>
          </cell>
          <cell r="K17">
            <v>0</v>
          </cell>
        </row>
        <row r="20">
          <cell r="C20">
            <v>228041.38</v>
          </cell>
          <cell r="G20">
            <v>6254.27</v>
          </cell>
          <cell r="K20">
            <v>0</v>
          </cell>
        </row>
        <row r="26">
          <cell r="C26">
            <v>237923.05</v>
          </cell>
          <cell r="G26">
            <v>232927</v>
          </cell>
          <cell r="K26">
            <v>0</v>
          </cell>
        </row>
        <row r="33">
          <cell r="C33">
            <v>7.78</v>
          </cell>
          <cell r="G33">
            <v>0</v>
          </cell>
          <cell r="K33">
            <v>0</v>
          </cell>
        </row>
        <row r="34">
          <cell r="C34">
            <v>305.08999999999997</v>
          </cell>
          <cell r="G34">
            <v>0</v>
          </cell>
          <cell r="K34">
            <v>0</v>
          </cell>
        </row>
        <row r="35">
          <cell r="C35">
            <v>109285.62</v>
          </cell>
          <cell r="G35">
            <v>4047.94</v>
          </cell>
          <cell r="K35">
            <v>0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171.69</v>
          </cell>
          <cell r="G37">
            <v>0</v>
          </cell>
          <cell r="K37">
            <v>0</v>
          </cell>
        </row>
        <row r="38">
          <cell r="C38">
            <v>249.59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11380.79</v>
          </cell>
          <cell r="G40">
            <v>1887.87</v>
          </cell>
          <cell r="K40">
            <v>2379.46</v>
          </cell>
        </row>
        <row r="41">
          <cell r="C41">
            <v>1188057.26</v>
          </cell>
          <cell r="D41">
            <v>10918.19</v>
          </cell>
          <cell r="E41">
            <v>372326.77</v>
          </cell>
          <cell r="G41">
            <v>313264.55</v>
          </cell>
          <cell r="I41">
            <v>9261.58</v>
          </cell>
          <cell r="K41">
            <v>24306.74</v>
          </cell>
          <cell r="M41">
            <v>0</v>
          </cell>
        </row>
      </sheetData>
      <sheetData sheetId="5">
        <row r="9">
          <cell r="C9">
            <v>32570</v>
          </cell>
          <cell r="D9">
            <v>279515.88</v>
          </cell>
        </row>
        <row r="18">
          <cell r="C18">
            <v>6518</v>
          </cell>
          <cell r="D18">
            <v>76348.539999999994</v>
          </cell>
          <cell r="E18">
            <v>17088.41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3150</v>
          </cell>
          <cell r="D20">
            <v>1981.86</v>
          </cell>
          <cell r="E20">
            <v>603.76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1202</v>
          </cell>
          <cell r="D29">
            <v>12419.38</v>
          </cell>
          <cell r="E29">
            <v>3085</v>
          </cell>
        </row>
        <row r="38">
          <cell r="C38">
            <v>8</v>
          </cell>
          <cell r="D38">
            <v>58</v>
          </cell>
          <cell r="E38">
            <v>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19623</v>
          </cell>
          <cell r="D10">
            <v>12296.18</v>
          </cell>
          <cell r="F10">
            <v>81</v>
          </cell>
          <cell r="G10">
            <v>2215.4499999999998</v>
          </cell>
          <cell r="H10">
            <v>91</v>
          </cell>
          <cell r="I10">
            <v>2355.46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352</v>
          </cell>
          <cell r="D24">
            <v>6280.45</v>
          </cell>
          <cell r="F24">
            <v>47</v>
          </cell>
          <cell r="G24">
            <v>2564.64</v>
          </cell>
          <cell r="H24">
            <v>148</v>
          </cell>
          <cell r="I24">
            <v>9439.2099999999991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302</v>
          </cell>
          <cell r="D40">
            <v>1056.46</v>
          </cell>
          <cell r="F40">
            <v>0</v>
          </cell>
          <cell r="G40">
            <v>25.96</v>
          </cell>
          <cell r="H40">
            <v>15</v>
          </cell>
          <cell r="I40">
            <v>502.74</v>
          </cell>
        </row>
        <row r="56">
          <cell r="C56">
            <v>193</v>
          </cell>
          <cell r="D56">
            <v>457.02</v>
          </cell>
          <cell r="F56">
            <v>3</v>
          </cell>
          <cell r="G56">
            <v>10.56</v>
          </cell>
          <cell r="H56">
            <v>15</v>
          </cell>
          <cell r="I56">
            <v>517.4</v>
          </cell>
        </row>
        <row r="88">
          <cell r="C88">
            <v>31231</v>
          </cell>
          <cell r="D88">
            <v>170474.67</v>
          </cell>
          <cell r="F88">
            <v>1201</v>
          </cell>
          <cell r="G88">
            <v>60592.52</v>
          </cell>
          <cell r="H88">
            <v>2478</v>
          </cell>
          <cell r="I88">
            <v>187809.68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120</v>
          </cell>
          <cell r="D132">
            <v>491.01</v>
          </cell>
          <cell r="F132">
            <v>0</v>
          </cell>
          <cell r="G132">
            <v>0</v>
          </cell>
          <cell r="H132">
            <v>4</v>
          </cell>
          <cell r="I132">
            <v>67.7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1759</v>
          </cell>
          <cell r="D170">
            <v>1230.9100000000001</v>
          </cell>
          <cell r="F170">
            <v>39</v>
          </cell>
          <cell r="G170">
            <v>785.83</v>
          </cell>
          <cell r="H170">
            <v>71</v>
          </cell>
          <cell r="I170">
            <v>1104.55</v>
          </cell>
        </row>
        <row r="175">
          <cell r="C175">
            <v>33602</v>
          </cell>
        </row>
      </sheetData>
      <sheetData sheetId="2">
        <row r="11">
          <cell r="C11">
            <v>19116</v>
          </cell>
          <cell r="D11">
            <v>110023.29</v>
          </cell>
          <cell r="J11">
            <v>1021</v>
          </cell>
          <cell r="K11">
            <v>43788.23</v>
          </cell>
        </row>
        <row r="12">
          <cell r="C12">
            <v>1590</v>
          </cell>
          <cell r="D12">
            <v>16658.7</v>
          </cell>
          <cell r="J12">
            <v>73</v>
          </cell>
          <cell r="K12">
            <v>4048.79</v>
          </cell>
        </row>
        <row r="13">
          <cell r="C13">
            <v>67</v>
          </cell>
          <cell r="D13">
            <v>1553.72</v>
          </cell>
          <cell r="J13">
            <v>6</v>
          </cell>
          <cell r="K13">
            <v>150.32</v>
          </cell>
        </row>
        <row r="14">
          <cell r="C14">
            <v>572</v>
          </cell>
          <cell r="D14">
            <v>515.32000000000005</v>
          </cell>
          <cell r="J14">
            <v>2</v>
          </cell>
          <cell r="K14">
            <v>42.45</v>
          </cell>
        </row>
        <row r="15">
          <cell r="C15">
            <v>102</v>
          </cell>
          <cell r="D15">
            <v>381.22</v>
          </cell>
          <cell r="J15">
            <v>11</v>
          </cell>
          <cell r="K15">
            <v>1010.74</v>
          </cell>
        </row>
        <row r="16">
          <cell r="C16">
            <v>1151</v>
          </cell>
          <cell r="D16">
            <v>1978.27</v>
          </cell>
          <cell r="J16">
            <v>24</v>
          </cell>
          <cell r="K16">
            <v>1108.22</v>
          </cell>
        </row>
        <row r="17">
          <cell r="C17">
            <v>416</v>
          </cell>
          <cell r="D17">
            <v>129.01</v>
          </cell>
          <cell r="J17">
            <v>3</v>
          </cell>
          <cell r="K17">
            <v>174.97</v>
          </cell>
        </row>
        <row r="18">
          <cell r="C18">
            <v>0</v>
          </cell>
          <cell r="D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6154</v>
          </cell>
          <cell r="D25">
            <v>28633.439999999999</v>
          </cell>
          <cell r="J25">
            <v>34</v>
          </cell>
          <cell r="K25">
            <v>6101.56</v>
          </cell>
        </row>
        <row r="26">
          <cell r="C26">
            <v>206</v>
          </cell>
          <cell r="D26">
            <v>3209.29</v>
          </cell>
          <cell r="J26">
            <v>23</v>
          </cell>
          <cell r="K26">
            <v>3603.64</v>
          </cell>
        </row>
        <row r="27">
          <cell r="C27">
            <v>17</v>
          </cell>
          <cell r="D27">
            <v>292.77</v>
          </cell>
          <cell r="J27">
            <v>2</v>
          </cell>
          <cell r="K27">
            <v>435.95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5.54</v>
          </cell>
          <cell r="J29">
            <v>0</v>
          </cell>
          <cell r="K29">
            <v>0</v>
          </cell>
        </row>
        <row r="30">
          <cell r="C30">
            <v>94</v>
          </cell>
          <cell r="D30">
            <v>163.05000000000001</v>
          </cell>
          <cell r="J30">
            <v>0</v>
          </cell>
          <cell r="K30">
            <v>0</v>
          </cell>
        </row>
        <row r="31">
          <cell r="C31">
            <v>174</v>
          </cell>
          <cell r="D31">
            <v>858.54</v>
          </cell>
          <cell r="J31">
            <v>2</v>
          </cell>
          <cell r="K31">
            <v>127.65</v>
          </cell>
        </row>
        <row r="32">
          <cell r="C32">
            <v>2</v>
          </cell>
          <cell r="D32">
            <v>5.84</v>
          </cell>
          <cell r="J32">
            <v>0</v>
          </cell>
          <cell r="K32">
            <v>0</v>
          </cell>
        </row>
        <row r="34">
          <cell r="C34">
            <v>1541</v>
          </cell>
          <cell r="D34">
            <v>5575.78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9837</v>
          </cell>
        </row>
        <row r="11">
          <cell r="P11">
            <v>0</v>
          </cell>
        </row>
        <row r="12">
          <cell r="P12">
            <v>5024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845</v>
          </cell>
        </row>
        <row r="20">
          <cell r="P20">
            <v>365</v>
          </cell>
        </row>
        <row r="26">
          <cell r="P26">
            <v>119677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393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985</v>
          </cell>
        </row>
      </sheetData>
      <sheetData sheetId="5">
        <row r="10">
          <cell r="C10">
            <v>21780.91</v>
          </cell>
          <cell r="G10">
            <v>7086.84</v>
          </cell>
          <cell r="K10">
            <v>0</v>
          </cell>
        </row>
        <row r="11">
          <cell r="C11">
            <v>0</v>
          </cell>
          <cell r="G11">
            <v>0</v>
          </cell>
          <cell r="K11">
            <v>0</v>
          </cell>
        </row>
        <row r="12">
          <cell r="C12">
            <v>13937.11</v>
          </cell>
          <cell r="G12">
            <v>76.55</v>
          </cell>
          <cell r="K12">
            <v>1041.5899999999999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16">
          <cell r="C16">
            <v>0</v>
          </cell>
          <cell r="G16">
            <v>0</v>
          </cell>
          <cell r="K16">
            <v>0</v>
          </cell>
        </row>
        <row r="17">
          <cell r="C17">
            <v>2163.23</v>
          </cell>
          <cell r="G17">
            <v>30.74</v>
          </cell>
          <cell r="K17">
            <v>0</v>
          </cell>
        </row>
        <row r="20">
          <cell r="C20">
            <v>1095.8699999999999</v>
          </cell>
          <cell r="G20">
            <v>30.74</v>
          </cell>
          <cell r="K20">
            <v>0</v>
          </cell>
        </row>
        <row r="26">
          <cell r="C26">
            <v>340213.59</v>
          </cell>
          <cell r="G26">
            <v>164611</v>
          </cell>
          <cell r="K26">
            <v>0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0</v>
          </cell>
          <cell r="G34">
            <v>0</v>
          </cell>
          <cell r="K34">
            <v>0</v>
          </cell>
        </row>
        <row r="35">
          <cell r="C35">
            <v>632.41999999999996</v>
          </cell>
          <cell r="G35">
            <v>160.61000000000001</v>
          </cell>
          <cell r="K35">
            <v>0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0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850.42</v>
          </cell>
          <cell r="G40">
            <v>1011.79</v>
          </cell>
          <cell r="K40">
            <v>0</v>
          </cell>
        </row>
        <row r="41">
          <cell r="C41">
            <v>380673.55</v>
          </cell>
          <cell r="D41">
            <v>0</v>
          </cell>
          <cell r="E41">
            <v>201796.74</v>
          </cell>
          <cell r="G41">
            <v>173008.27</v>
          </cell>
          <cell r="I41">
            <v>2663.32</v>
          </cell>
          <cell r="K41">
            <v>1041.5899999999999</v>
          </cell>
          <cell r="M41">
            <v>0</v>
          </cell>
        </row>
      </sheetData>
      <sheetData sheetId="6">
        <row r="9">
          <cell r="C9">
            <v>79</v>
          </cell>
          <cell r="D9">
            <v>223.26</v>
          </cell>
        </row>
        <row r="18">
          <cell r="C18">
            <v>21876</v>
          </cell>
          <cell r="D18">
            <v>125952</v>
          </cell>
          <cell r="E18">
            <v>41412</v>
          </cell>
        </row>
        <row r="19">
          <cell r="C19">
            <v>337</v>
          </cell>
          <cell r="D19">
            <v>2066</v>
          </cell>
          <cell r="E19">
            <v>723</v>
          </cell>
        </row>
        <row r="20">
          <cell r="C20">
            <v>114</v>
          </cell>
          <cell r="D20">
            <v>65</v>
          </cell>
          <cell r="E20">
            <v>23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11196</v>
          </cell>
          <cell r="D29">
            <v>63981</v>
          </cell>
          <cell r="E29">
            <v>18645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26240</v>
          </cell>
          <cell r="D10">
            <v>17754</v>
          </cell>
          <cell r="F10">
            <v>161</v>
          </cell>
          <cell r="G10">
            <v>5474</v>
          </cell>
          <cell r="H10">
            <v>36</v>
          </cell>
          <cell r="I10">
            <v>1748</v>
          </cell>
        </row>
        <row r="20">
          <cell r="C20">
            <v>287</v>
          </cell>
          <cell r="D20">
            <v>45020</v>
          </cell>
          <cell r="F20">
            <v>2167</v>
          </cell>
          <cell r="G20">
            <v>24426</v>
          </cell>
          <cell r="H20">
            <v>167</v>
          </cell>
          <cell r="I20">
            <v>2634</v>
          </cell>
        </row>
        <row r="24">
          <cell r="C24">
            <v>1070</v>
          </cell>
          <cell r="D24">
            <v>31272</v>
          </cell>
          <cell r="F24">
            <v>144</v>
          </cell>
          <cell r="G24">
            <v>15030</v>
          </cell>
          <cell r="H24">
            <v>176</v>
          </cell>
          <cell r="I24">
            <v>9376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60</v>
          </cell>
          <cell r="D36">
            <v>7784</v>
          </cell>
          <cell r="F36">
            <v>5</v>
          </cell>
          <cell r="G36">
            <v>37</v>
          </cell>
          <cell r="H36">
            <v>1</v>
          </cell>
          <cell r="I36">
            <v>25</v>
          </cell>
        </row>
        <row r="40">
          <cell r="C40">
            <v>1726</v>
          </cell>
          <cell r="D40">
            <v>19965</v>
          </cell>
          <cell r="F40">
            <v>4</v>
          </cell>
          <cell r="G40">
            <v>201</v>
          </cell>
          <cell r="H40">
            <v>12</v>
          </cell>
          <cell r="I40">
            <v>8993</v>
          </cell>
        </row>
        <row r="56">
          <cell r="C56">
            <v>896</v>
          </cell>
          <cell r="D56">
            <v>58046</v>
          </cell>
          <cell r="F56">
            <v>35</v>
          </cell>
          <cell r="G56">
            <v>1518</v>
          </cell>
          <cell r="H56">
            <v>51</v>
          </cell>
          <cell r="I56">
            <v>25578</v>
          </cell>
        </row>
        <row r="88">
          <cell r="C88">
            <v>44164</v>
          </cell>
          <cell r="D88">
            <v>258366</v>
          </cell>
          <cell r="F88">
            <v>1521</v>
          </cell>
          <cell r="G88">
            <v>108565</v>
          </cell>
          <cell r="H88">
            <v>1398</v>
          </cell>
          <cell r="I88">
            <v>179901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17</v>
          </cell>
          <cell r="D128">
            <v>82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937</v>
          </cell>
          <cell r="D132">
            <v>19829</v>
          </cell>
          <cell r="F132">
            <v>0</v>
          </cell>
          <cell r="G132">
            <v>100</v>
          </cell>
          <cell r="H132">
            <v>38</v>
          </cell>
          <cell r="I132">
            <v>23976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8</v>
          </cell>
          <cell r="D161">
            <v>3048</v>
          </cell>
          <cell r="F161">
            <v>1</v>
          </cell>
          <cell r="G161">
            <v>1923</v>
          </cell>
          <cell r="H161">
            <v>4</v>
          </cell>
          <cell r="I161">
            <v>44600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8139</v>
          </cell>
          <cell r="D170">
            <v>5420</v>
          </cell>
          <cell r="F170">
            <v>29</v>
          </cell>
          <cell r="G170">
            <v>2039</v>
          </cell>
          <cell r="H170">
            <v>70</v>
          </cell>
          <cell r="I170">
            <v>1292</v>
          </cell>
        </row>
        <row r="175">
          <cell r="C175">
            <v>55609</v>
          </cell>
        </row>
      </sheetData>
      <sheetData sheetId="2">
        <row r="11">
          <cell r="C11">
            <v>26871</v>
          </cell>
          <cell r="D11">
            <v>158876</v>
          </cell>
          <cell r="J11">
            <v>1303</v>
          </cell>
          <cell r="K11">
            <v>74761</v>
          </cell>
        </row>
        <row r="12">
          <cell r="C12">
            <v>3169</v>
          </cell>
          <cell r="D12">
            <v>32318</v>
          </cell>
          <cell r="J12">
            <v>139</v>
          </cell>
          <cell r="K12">
            <v>9943</v>
          </cell>
        </row>
        <row r="13">
          <cell r="C13">
            <v>214</v>
          </cell>
          <cell r="D13">
            <v>5056</v>
          </cell>
          <cell r="J13">
            <v>14</v>
          </cell>
          <cell r="K13">
            <v>1775</v>
          </cell>
        </row>
        <row r="14">
          <cell r="C14">
            <v>501</v>
          </cell>
          <cell r="D14">
            <v>400</v>
          </cell>
          <cell r="J14">
            <v>3</v>
          </cell>
          <cell r="K14">
            <v>92</v>
          </cell>
        </row>
        <row r="15">
          <cell r="C15">
            <v>34</v>
          </cell>
          <cell r="D15">
            <v>96</v>
          </cell>
          <cell r="J15">
            <v>0</v>
          </cell>
          <cell r="K15">
            <v>0</v>
          </cell>
        </row>
        <row r="16">
          <cell r="C16">
            <v>1130</v>
          </cell>
          <cell r="D16">
            <v>1845</v>
          </cell>
          <cell r="J16">
            <v>9</v>
          </cell>
          <cell r="K16">
            <v>1087</v>
          </cell>
        </row>
        <row r="17">
          <cell r="C17">
            <v>658</v>
          </cell>
          <cell r="D17">
            <v>202</v>
          </cell>
          <cell r="J17">
            <v>1</v>
          </cell>
          <cell r="K17">
            <v>62</v>
          </cell>
        </row>
        <row r="18">
          <cell r="C18">
            <v>127</v>
          </cell>
          <cell r="D18">
            <v>481</v>
          </cell>
          <cell r="J18">
            <v>1</v>
          </cell>
          <cell r="K18">
            <v>11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10368</v>
          </cell>
          <cell r="D25">
            <v>46120</v>
          </cell>
          <cell r="J25">
            <v>22</v>
          </cell>
          <cell r="K25">
            <v>7995</v>
          </cell>
        </row>
        <row r="26">
          <cell r="C26">
            <v>357</v>
          </cell>
          <cell r="D26">
            <v>6148</v>
          </cell>
          <cell r="J26">
            <v>25</v>
          </cell>
          <cell r="K26">
            <v>12163</v>
          </cell>
        </row>
        <row r="27">
          <cell r="C27">
            <v>34</v>
          </cell>
          <cell r="D27">
            <v>586</v>
          </cell>
          <cell r="J27">
            <v>1</v>
          </cell>
          <cell r="K27">
            <v>238</v>
          </cell>
        </row>
        <row r="28">
          <cell r="C28">
            <v>2</v>
          </cell>
          <cell r="D28">
            <v>11</v>
          </cell>
          <cell r="J28">
            <v>0</v>
          </cell>
          <cell r="K28">
            <v>0</v>
          </cell>
        </row>
        <row r="29">
          <cell r="C29">
            <v>9</v>
          </cell>
          <cell r="D29">
            <v>50</v>
          </cell>
          <cell r="J29">
            <v>0</v>
          </cell>
          <cell r="K29">
            <v>0</v>
          </cell>
        </row>
        <row r="30">
          <cell r="C30">
            <v>92</v>
          </cell>
          <cell r="D30">
            <v>169</v>
          </cell>
          <cell r="J30">
            <v>1</v>
          </cell>
          <cell r="K30">
            <v>232</v>
          </cell>
        </row>
        <row r="31">
          <cell r="C31">
            <v>312</v>
          </cell>
          <cell r="D31">
            <v>1722</v>
          </cell>
          <cell r="J31">
            <v>2</v>
          </cell>
          <cell r="K31">
            <v>206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146</v>
          </cell>
          <cell r="D34">
            <v>827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12428</v>
          </cell>
        </row>
        <row r="11">
          <cell r="P11">
            <v>31514</v>
          </cell>
        </row>
        <row r="12">
          <cell r="P12">
            <v>21890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5449</v>
          </cell>
        </row>
        <row r="17">
          <cell r="P17">
            <v>13975</v>
          </cell>
        </row>
        <row r="20">
          <cell r="P20">
            <v>40632</v>
          </cell>
        </row>
        <row r="26">
          <cell r="P26">
            <v>198735</v>
          </cell>
        </row>
        <row r="33">
          <cell r="P33">
            <v>0</v>
          </cell>
        </row>
        <row r="34">
          <cell r="P34">
            <v>57</v>
          </cell>
        </row>
        <row r="35">
          <cell r="P35">
            <v>13880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2134</v>
          </cell>
        </row>
        <row r="39">
          <cell r="P39">
            <v>0</v>
          </cell>
        </row>
        <row r="40">
          <cell r="P40">
            <v>3794</v>
          </cell>
        </row>
      </sheetData>
      <sheetData sheetId="5">
        <row r="10">
          <cell r="C10">
            <v>31474</v>
          </cell>
          <cell r="G10">
            <v>11618</v>
          </cell>
          <cell r="K10">
            <v>0</v>
          </cell>
        </row>
        <row r="11">
          <cell r="C11">
            <v>73925</v>
          </cell>
          <cell r="G11">
            <v>9089</v>
          </cell>
          <cell r="K11">
            <v>4436</v>
          </cell>
        </row>
        <row r="12">
          <cell r="C12">
            <v>66329</v>
          </cell>
          <cell r="G12">
            <v>8462</v>
          </cell>
          <cell r="K12">
            <v>2653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2626</v>
          </cell>
          <cell r="G14">
            <v>0</v>
          </cell>
          <cell r="K14">
            <v>0</v>
          </cell>
        </row>
        <row r="15">
          <cell r="C15">
            <v>8</v>
          </cell>
          <cell r="G15">
            <v>0</v>
          </cell>
          <cell r="K15">
            <v>0</v>
          </cell>
        </row>
        <row r="16">
          <cell r="C16">
            <v>4138</v>
          </cell>
          <cell r="G16">
            <v>0</v>
          </cell>
          <cell r="K16">
            <v>0</v>
          </cell>
        </row>
        <row r="17">
          <cell r="C17">
            <v>30000</v>
          </cell>
          <cell r="G17">
            <v>3147</v>
          </cell>
          <cell r="K17">
            <v>0</v>
          </cell>
        </row>
        <row r="20">
          <cell r="C20">
            <v>73656</v>
          </cell>
          <cell r="G20">
            <v>8953</v>
          </cell>
          <cell r="K20">
            <v>0</v>
          </cell>
        </row>
        <row r="26">
          <cell r="C26">
            <v>533883</v>
          </cell>
          <cell r="G26">
            <v>316726</v>
          </cell>
          <cell r="K26">
            <v>0</v>
          </cell>
        </row>
        <row r="33">
          <cell r="C33">
            <v>235</v>
          </cell>
          <cell r="G33">
            <v>0</v>
          </cell>
          <cell r="K33">
            <v>0</v>
          </cell>
        </row>
        <row r="34">
          <cell r="C34">
            <v>279</v>
          </cell>
          <cell r="G34">
            <v>0</v>
          </cell>
          <cell r="K34">
            <v>0</v>
          </cell>
        </row>
        <row r="35">
          <cell r="C35">
            <v>25772</v>
          </cell>
          <cell r="G35">
            <v>6150</v>
          </cell>
          <cell r="K35">
            <v>0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4069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5353</v>
          </cell>
          <cell r="G40">
            <v>801</v>
          </cell>
          <cell r="K40">
            <v>0</v>
          </cell>
        </row>
        <row r="41">
          <cell r="C41">
            <v>851747</v>
          </cell>
          <cell r="D41">
            <v>43</v>
          </cell>
          <cell r="E41">
            <v>298123</v>
          </cell>
          <cell r="G41">
            <v>364946</v>
          </cell>
          <cell r="I41">
            <v>10941</v>
          </cell>
          <cell r="K41">
            <v>7089</v>
          </cell>
          <cell r="M41">
            <v>0</v>
          </cell>
        </row>
      </sheetData>
      <sheetData sheetId="6">
        <row r="9">
          <cell r="C9">
            <v>4409</v>
          </cell>
          <cell r="D9">
            <v>70595</v>
          </cell>
        </row>
        <row r="18">
          <cell r="C18">
            <v>22994</v>
          </cell>
          <cell r="D18">
            <v>203010</v>
          </cell>
          <cell r="E18">
            <v>62695</v>
          </cell>
        </row>
        <row r="19">
          <cell r="C19">
            <v>4285</v>
          </cell>
          <cell r="D19">
            <v>25420</v>
          </cell>
          <cell r="E19">
            <v>7929</v>
          </cell>
        </row>
        <row r="20">
          <cell r="C20">
            <v>295</v>
          </cell>
          <cell r="D20">
            <v>152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23626</v>
          </cell>
          <cell r="D29">
            <v>167409</v>
          </cell>
          <cell r="E29">
            <v>41119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16924</v>
          </cell>
          <cell r="D10">
            <v>12061</v>
          </cell>
          <cell r="F10">
            <v>119</v>
          </cell>
          <cell r="G10">
            <v>5108</v>
          </cell>
          <cell r="H10">
            <v>60</v>
          </cell>
          <cell r="I10">
            <v>1492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1530</v>
          </cell>
          <cell r="D24">
            <v>34437</v>
          </cell>
          <cell r="F24">
            <v>139</v>
          </cell>
          <cell r="G24">
            <v>14967</v>
          </cell>
          <cell r="H24">
            <v>171</v>
          </cell>
          <cell r="I24">
            <v>21486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1</v>
          </cell>
          <cell r="D30">
            <v>461</v>
          </cell>
          <cell r="F30">
            <v>0</v>
          </cell>
          <cell r="G30">
            <v>0</v>
          </cell>
          <cell r="H30">
            <v>1</v>
          </cell>
          <cell r="I30">
            <v>60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43</v>
          </cell>
          <cell r="D36">
            <v>612</v>
          </cell>
          <cell r="F36">
            <v>1</v>
          </cell>
          <cell r="G36">
            <v>93</v>
          </cell>
          <cell r="H36">
            <v>0</v>
          </cell>
          <cell r="I36">
            <v>0</v>
          </cell>
        </row>
        <row r="40">
          <cell r="C40">
            <v>2067</v>
          </cell>
          <cell r="D40">
            <v>16164</v>
          </cell>
          <cell r="F40">
            <v>14</v>
          </cell>
          <cell r="G40">
            <v>991</v>
          </cell>
          <cell r="H40">
            <v>42</v>
          </cell>
          <cell r="I40">
            <v>19783</v>
          </cell>
        </row>
        <row r="56">
          <cell r="C56">
            <v>1008</v>
          </cell>
          <cell r="D56">
            <v>7086.76</v>
          </cell>
          <cell r="F56">
            <v>13</v>
          </cell>
          <cell r="G56">
            <v>245</v>
          </cell>
          <cell r="H56">
            <v>47</v>
          </cell>
          <cell r="I56">
            <v>683</v>
          </cell>
        </row>
        <row r="88">
          <cell r="C88">
            <v>24574</v>
          </cell>
          <cell r="D88">
            <v>139869</v>
          </cell>
          <cell r="F88">
            <v>701</v>
          </cell>
          <cell r="G88">
            <v>42962.400000000001</v>
          </cell>
          <cell r="H88">
            <v>955</v>
          </cell>
          <cell r="I88">
            <v>167445</v>
          </cell>
        </row>
        <row r="124">
          <cell r="C124">
            <v>9</v>
          </cell>
          <cell r="D124">
            <v>226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7</v>
          </cell>
          <cell r="D128">
            <v>14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1471</v>
          </cell>
          <cell r="D132">
            <v>9089.7000000000007</v>
          </cell>
          <cell r="F132">
            <v>13</v>
          </cell>
          <cell r="G132">
            <v>223</v>
          </cell>
          <cell r="H132">
            <v>33</v>
          </cell>
          <cell r="I132">
            <v>5393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5409</v>
          </cell>
          <cell r="D170">
            <v>4708</v>
          </cell>
          <cell r="F170">
            <v>52</v>
          </cell>
          <cell r="G170">
            <v>824</v>
          </cell>
          <cell r="H170">
            <v>123</v>
          </cell>
          <cell r="I170">
            <v>2480</v>
          </cell>
        </row>
        <row r="175">
          <cell r="C175">
            <v>34737</v>
          </cell>
        </row>
      </sheetData>
      <sheetData sheetId="2">
        <row r="11">
          <cell r="C11">
            <v>15034</v>
          </cell>
          <cell r="D11">
            <v>84207</v>
          </cell>
          <cell r="J11">
            <v>584</v>
          </cell>
          <cell r="K11">
            <v>33893.4</v>
          </cell>
        </row>
        <row r="12">
          <cell r="C12">
            <v>1547</v>
          </cell>
          <cell r="D12">
            <v>16900</v>
          </cell>
          <cell r="J12">
            <v>64</v>
          </cell>
          <cell r="K12">
            <v>4060</v>
          </cell>
        </row>
        <row r="13">
          <cell r="C13">
            <v>142</v>
          </cell>
          <cell r="D13">
            <v>2994</v>
          </cell>
          <cell r="J13">
            <v>5</v>
          </cell>
          <cell r="K13">
            <v>186</v>
          </cell>
        </row>
        <row r="14">
          <cell r="C14">
            <v>709</v>
          </cell>
          <cell r="D14">
            <v>586</v>
          </cell>
          <cell r="J14">
            <v>8</v>
          </cell>
          <cell r="K14">
            <v>147</v>
          </cell>
        </row>
        <row r="15">
          <cell r="C15">
            <v>77</v>
          </cell>
          <cell r="D15">
            <v>258</v>
          </cell>
          <cell r="J15">
            <v>6</v>
          </cell>
          <cell r="K15">
            <v>221</v>
          </cell>
        </row>
        <row r="16">
          <cell r="C16">
            <v>725</v>
          </cell>
          <cell r="D16">
            <v>1301</v>
          </cell>
          <cell r="J16">
            <v>5</v>
          </cell>
          <cell r="K16">
            <v>589</v>
          </cell>
        </row>
        <row r="17">
          <cell r="C17">
            <v>493</v>
          </cell>
          <cell r="D17">
            <v>179</v>
          </cell>
          <cell r="J17">
            <v>0</v>
          </cell>
          <cell r="K17">
            <v>0</v>
          </cell>
        </row>
        <row r="18">
          <cell r="C18">
            <v>118</v>
          </cell>
          <cell r="D18">
            <v>508</v>
          </cell>
          <cell r="J18">
            <v>10</v>
          </cell>
          <cell r="K18">
            <v>891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4935</v>
          </cell>
          <cell r="D25">
            <v>23170</v>
          </cell>
          <cell r="J25">
            <v>6</v>
          </cell>
          <cell r="K25">
            <v>737</v>
          </cell>
        </row>
        <row r="26">
          <cell r="C26">
            <v>282</v>
          </cell>
          <cell r="D26">
            <v>4422</v>
          </cell>
          <cell r="J26">
            <v>10</v>
          </cell>
          <cell r="K26">
            <v>1707</v>
          </cell>
        </row>
        <row r="27">
          <cell r="C27">
            <v>37</v>
          </cell>
          <cell r="D27">
            <v>603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5</v>
          </cell>
          <cell r="D29">
            <v>28</v>
          </cell>
          <cell r="J29">
            <v>0</v>
          </cell>
          <cell r="K29">
            <v>0</v>
          </cell>
        </row>
        <row r="30">
          <cell r="C30">
            <v>69</v>
          </cell>
          <cell r="D30">
            <v>120</v>
          </cell>
          <cell r="J30">
            <v>0</v>
          </cell>
          <cell r="K30">
            <v>0</v>
          </cell>
        </row>
        <row r="31">
          <cell r="C31">
            <v>252</v>
          </cell>
          <cell r="D31">
            <v>1368</v>
          </cell>
          <cell r="J31">
            <v>1</v>
          </cell>
          <cell r="K31">
            <v>16</v>
          </cell>
        </row>
        <row r="32">
          <cell r="C32">
            <v>2</v>
          </cell>
          <cell r="D32">
            <v>11</v>
          </cell>
          <cell r="J32">
            <v>0</v>
          </cell>
          <cell r="K32">
            <v>0</v>
          </cell>
        </row>
        <row r="34">
          <cell r="C34">
            <v>23</v>
          </cell>
          <cell r="D34">
            <v>156</v>
          </cell>
          <cell r="J34">
            <v>1</v>
          </cell>
          <cell r="K34">
            <v>121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1</v>
          </cell>
          <cell r="D40">
            <v>1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8651</v>
          </cell>
        </row>
        <row r="11">
          <cell r="P11">
            <v>0</v>
          </cell>
        </row>
        <row r="12">
          <cell r="P12">
            <v>21942</v>
          </cell>
        </row>
        <row r="13">
          <cell r="P13">
            <v>0</v>
          </cell>
        </row>
        <row r="14">
          <cell r="P14">
            <v>323</v>
          </cell>
        </row>
        <row r="15">
          <cell r="P15">
            <v>0</v>
          </cell>
        </row>
        <row r="16">
          <cell r="P16">
            <v>450</v>
          </cell>
        </row>
        <row r="17">
          <cell r="P17">
            <v>10506</v>
          </cell>
        </row>
        <row r="20">
          <cell r="P20">
            <v>5115</v>
          </cell>
        </row>
        <row r="26">
          <cell r="P26">
            <v>103900</v>
          </cell>
        </row>
        <row r="33">
          <cell r="P33">
            <v>169</v>
          </cell>
        </row>
        <row r="34">
          <cell r="P34">
            <v>9</v>
          </cell>
        </row>
        <row r="35">
          <cell r="P35">
            <v>6364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2562</v>
          </cell>
        </row>
      </sheetData>
      <sheetData sheetId="5">
        <row r="10">
          <cell r="C10">
            <v>21751</v>
          </cell>
          <cell r="G10">
            <v>10439.76</v>
          </cell>
          <cell r="K10">
            <v>0</v>
          </cell>
        </row>
        <row r="11">
          <cell r="C11">
            <v>0</v>
          </cell>
          <cell r="G11">
            <v>0</v>
          </cell>
          <cell r="K11">
            <v>0</v>
          </cell>
        </row>
        <row r="12">
          <cell r="C12">
            <v>72231</v>
          </cell>
          <cell r="G12">
            <v>11009.53</v>
          </cell>
          <cell r="K12">
            <v>6137.15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488</v>
          </cell>
          <cell r="G14">
            <v>0</v>
          </cell>
          <cell r="K14">
            <v>0</v>
          </cell>
        </row>
        <row r="15">
          <cell r="C15">
            <v>95</v>
          </cell>
          <cell r="G15">
            <v>0</v>
          </cell>
          <cell r="K15">
            <v>0</v>
          </cell>
        </row>
        <row r="16">
          <cell r="C16">
            <v>203.36</v>
          </cell>
          <cell r="G16">
            <v>0</v>
          </cell>
          <cell r="K16">
            <v>0</v>
          </cell>
        </row>
        <row r="17">
          <cell r="C17">
            <v>35790</v>
          </cell>
          <cell r="G17">
            <v>14409.59</v>
          </cell>
          <cell r="K17">
            <v>8.58</v>
          </cell>
        </row>
        <row r="20">
          <cell r="C20">
            <v>15589.64</v>
          </cell>
          <cell r="G20">
            <v>497.42</v>
          </cell>
          <cell r="K20">
            <v>0</v>
          </cell>
        </row>
        <row r="26">
          <cell r="C26">
            <v>296970</v>
          </cell>
          <cell r="G26">
            <v>260652</v>
          </cell>
          <cell r="K26">
            <v>220</v>
          </cell>
        </row>
        <row r="33">
          <cell r="C33">
            <v>1097</v>
          </cell>
          <cell r="G33">
            <v>0</v>
          </cell>
          <cell r="K33">
            <v>0</v>
          </cell>
        </row>
        <row r="34">
          <cell r="C34">
            <v>222</v>
          </cell>
          <cell r="G34">
            <v>0</v>
          </cell>
          <cell r="K34">
            <v>0</v>
          </cell>
        </row>
        <row r="35">
          <cell r="C35">
            <v>15640</v>
          </cell>
          <cell r="G35">
            <v>10993.75</v>
          </cell>
          <cell r="K35">
            <v>0</v>
          </cell>
        </row>
        <row r="36">
          <cell r="C36">
            <v>0</v>
          </cell>
          <cell r="G36">
            <v>0</v>
          </cell>
          <cell r="K36">
            <v>0</v>
          </cell>
        </row>
        <row r="37">
          <cell r="C37">
            <v>0</v>
          </cell>
          <cell r="G37">
            <v>0</v>
          </cell>
          <cell r="K37">
            <v>0</v>
          </cell>
        </row>
        <row r="38">
          <cell r="C38">
            <v>0</v>
          </cell>
          <cell r="G38">
            <v>0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5306</v>
          </cell>
          <cell r="G40">
            <v>5030.38</v>
          </cell>
          <cell r="K40">
            <v>7.2</v>
          </cell>
        </row>
        <row r="41">
          <cell r="C41">
            <v>465383</v>
          </cell>
          <cell r="D41">
            <v>2735.39</v>
          </cell>
          <cell r="E41">
            <v>218822</v>
          </cell>
          <cell r="G41">
            <v>313032.43</v>
          </cell>
          <cell r="I41">
            <v>9662.7099999999991</v>
          </cell>
          <cell r="K41">
            <v>6372.93</v>
          </cell>
          <cell r="M41">
            <v>40794.61</v>
          </cell>
        </row>
      </sheetData>
      <sheetData sheetId="6">
        <row r="9">
          <cell r="C9">
            <v>23037</v>
          </cell>
          <cell r="D9">
            <v>149473</v>
          </cell>
        </row>
        <row r="18">
          <cell r="C18">
            <v>7936</v>
          </cell>
          <cell r="D18">
            <v>55006</v>
          </cell>
          <cell r="E18">
            <v>15425.5</v>
          </cell>
        </row>
        <row r="19">
          <cell r="C19">
            <v>598</v>
          </cell>
          <cell r="D19">
            <v>3401</v>
          </cell>
          <cell r="E19">
            <v>1141.94</v>
          </cell>
        </row>
        <row r="20">
          <cell r="C20">
            <v>227</v>
          </cell>
          <cell r="D20">
            <v>165</v>
          </cell>
          <cell r="E20">
            <v>42.5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353</v>
          </cell>
          <cell r="D22">
            <v>919</v>
          </cell>
          <cell r="E22">
            <v>0</v>
          </cell>
        </row>
        <row r="29">
          <cell r="C29">
            <v>2586</v>
          </cell>
          <cell r="D29">
            <v>15764</v>
          </cell>
          <cell r="E29">
            <v>3093.46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14633</v>
          </cell>
          <cell r="D10">
            <v>20709.009999999998</v>
          </cell>
          <cell r="F10">
            <v>161</v>
          </cell>
          <cell r="G10">
            <v>10654.54</v>
          </cell>
          <cell r="H10">
            <v>90</v>
          </cell>
          <cell r="I10">
            <v>7769.84</v>
          </cell>
        </row>
        <row r="20">
          <cell r="C20">
            <v>4682</v>
          </cell>
          <cell r="D20">
            <v>100530.35</v>
          </cell>
          <cell r="F20">
            <v>2088</v>
          </cell>
          <cell r="G20">
            <v>19616.060000000001</v>
          </cell>
          <cell r="H20">
            <v>248</v>
          </cell>
          <cell r="I20">
            <v>3974.91</v>
          </cell>
        </row>
        <row r="24">
          <cell r="C24">
            <v>1191</v>
          </cell>
          <cell r="D24">
            <v>38714.269999999997</v>
          </cell>
          <cell r="F24">
            <v>147</v>
          </cell>
          <cell r="G24">
            <v>16194.42</v>
          </cell>
          <cell r="H24">
            <v>171</v>
          </cell>
          <cell r="I24">
            <v>29153.34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3</v>
          </cell>
          <cell r="D33">
            <v>79.48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72</v>
          </cell>
          <cell r="D36">
            <v>885.52</v>
          </cell>
          <cell r="F36">
            <v>0</v>
          </cell>
          <cell r="G36">
            <v>2.0099999999999998</v>
          </cell>
          <cell r="H36">
            <v>1</v>
          </cell>
          <cell r="I36">
            <v>51.13</v>
          </cell>
        </row>
        <row r="40">
          <cell r="C40">
            <v>2461</v>
          </cell>
          <cell r="D40">
            <v>28243.58</v>
          </cell>
          <cell r="F40">
            <v>9</v>
          </cell>
          <cell r="G40">
            <v>401.89</v>
          </cell>
          <cell r="H40">
            <v>19</v>
          </cell>
          <cell r="I40">
            <v>3362.79</v>
          </cell>
        </row>
        <row r="56">
          <cell r="C56">
            <v>2625</v>
          </cell>
          <cell r="D56">
            <v>49657.99</v>
          </cell>
          <cell r="F56">
            <v>30</v>
          </cell>
          <cell r="G56">
            <v>773.3</v>
          </cell>
          <cell r="H56">
            <v>23</v>
          </cell>
          <cell r="I56">
            <v>3131.46</v>
          </cell>
        </row>
        <row r="88">
          <cell r="C88">
            <v>14721</v>
          </cell>
          <cell r="D88">
            <v>87880.28</v>
          </cell>
          <cell r="F88">
            <v>535</v>
          </cell>
          <cell r="G88">
            <v>49126.18</v>
          </cell>
          <cell r="H88">
            <v>646</v>
          </cell>
          <cell r="I88">
            <v>175702.25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3</v>
          </cell>
          <cell r="D128">
            <v>12.32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1174</v>
          </cell>
          <cell r="D132">
            <v>15454.09</v>
          </cell>
          <cell r="F132">
            <v>1</v>
          </cell>
          <cell r="G132">
            <v>3.08</v>
          </cell>
          <cell r="H132">
            <v>7</v>
          </cell>
          <cell r="I132">
            <v>16978.22</v>
          </cell>
        </row>
        <row r="153">
          <cell r="C153">
            <v>1369</v>
          </cell>
          <cell r="D153">
            <v>29873.46</v>
          </cell>
          <cell r="F153">
            <v>2</v>
          </cell>
          <cell r="G153">
            <v>69.45</v>
          </cell>
          <cell r="H153">
            <v>7</v>
          </cell>
          <cell r="I153">
            <v>311.08999999999997</v>
          </cell>
        </row>
        <row r="158">
          <cell r="C158">
            <v>1</v>
          </cell>
          <cell r="D158">
            <v>36.9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12</v>
          </cell>
          <cell r="D161">
            <v>3728.61</v>
          </cell>
          <cell r="F161">
            <v>0</v>
          </cell>
          <cell r="G161">
            <v>0</v>
          </cell>
          <cell r="H161">
            <v>1</v>
          </cell>
          <cell r="I161">
            <v>118.49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4673</v>
          </cell>
          <cell r="D170">
            <v>3890.02</v>
          </cell>
          <cell r="F170">
            <v>25</v>
          </cell>
          <cell r="G170">
            <v>1278.6400000000001</v>
          </cell>
          <cell r="H170">
            <v>63</v>
          </cell>
          <cell r="I170">
            <v>3135.2</v>
          </cell>
        </row>
        <row r="175">
          <cell r="C175">
            <v>34283</v>
          </cell>
        </row>
      </sheetData>
      <sheetData sheetId="2">
        <row r="11">
          <cell r="C11">
            <v>8405</v>
          </cell>
          <cell r="D11">
            <v>48037.96</v>
          </cell>
          <cell r="J11">
            <v>438</v>
          </cell>
          <cell r="K11">
            <v>32591.08</v>
          </cell>
        </row>
        <row r="12">
          <cell r="C12">
            <v>1053</v>
          </cell>
          <cell r="D12">
            <v>12305.61</v>
          </cell>
          <cell r="J12">
            <v>55</v>
          </cell>
          <cell r="K12">
            <v>3827.28</v>
          </cell>
        </row>
        <row r="13">
          <cell r="C13">
            <v>59</v>
          </cell>
          <cell r="D13">
            <v>1123.31</v>
          </cell>
          <cell r="J13">
            <v>4</v>
          </cell>
          <cell r="K13">
            <v>262.91000000000003</v>
          </cell>
        </row>
        <row r="14">
          <cell r="C14">
            <v>414</v>
          </cell>
          <cell r="D14">
            <v>326.39999999999998</v>
          </cell>
          <cell r="J14">
            <v>0</v>
          </cell>
          <cell r="K14">
            <v>0</v>
          </cell>
        </row>
        <row r="15">
          <cell r="C15">
            <v>16</v>
          </cell>
          <cell r="D15">
            <v>58.72</v>
          </cell>
          <cell r="J15">
            <v>0</v>
          </cell>
          <cell r="K15">
            <v>0</v>
          </cell>
        </row>
        <row r="16">
          <cell r="C16">
            <v>345</v>
          </cell>
          <cell r="D16">
            <v>666.79</v>
          </cell>
          <cell r="J16">
            <v>4</v>
          </cell>
          <cell r="K16">
            <v>805</v>
          </cell>
        </row>
        <row r="17">
          <cell r="C17">
            <v>343</v>
          </cell>
          <cell r="D17">
            <v>105.99</v>
          </cell>
          <cell r="J17">
            <v>1</v>
          </cell>
          <cell r="K17">
            <v>268.07</v>
          </cell>
        </row>
        <row r="18">
          <cell r="C18">
            <v>43</v>
          </cell>
          <cell r="D18">
            <v>174.14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2988</v>
          </cell>
          <cell r="D25">
            <v>15329.02</v>
          </cell>
          <cell r="J25">
            <v>12</v>
          </cell>
          <cell r="K25">
            <v>3016.28</v>
          </cell>
        </row>
        <row r="26">
          <cell r="C26">
            <v>187</v>
          </cell>
          <cell r="D26">
            <v>3203.29</v>
          </cell>
          <cell r="J26">
            <v>16</v>
          </cell>
          <cell r="K26">
            <v>6724.71</v>
          </cell>
        </row>
        <row r="27">
          <cell r="C27">
            <v>27</v>
          </cell>
          <cell r="D27">
            <v>464.99</v>
          </cell>
          <cell r="J27">
            <v>2</v>
          </cell>
          <cell r="K27">
            <v>117.34</v>
          </cell>
        </row>
        <row r="28">
          <cell r="C28">
            <v>4</v>
          </cell>
          <cell r="D28">
            <v>22.14</v>
          </cell>
          <cell r="J28">
            <v>0</v>
          </cell>
          <cell r="K28">
            <v>0</v>
          </cell>
        </row>
        <row r="29">
          <cell r="C29">
            <v>6</v>
          </cell>
          <cell r="D29">
            <v>33.22</v>
          </cell>
          <cell r="J29">
            <v>0</v>
          </cell>
          <cell r="K29">
            <v>0</v>
          </cell>
        </row>
        <row r="30">
          <cell r="C30">
            <v>38</v>
          </cell>
          <cell r="D30">
            <v>70.3</v>
          </cell>
          <cell r="J30">
            <v>0</v>
          </cell>
          <cell r="K30">
            <v>0</v>
          </cell>
        </row>
        <row r="31">
          <cell r="C31">
            <v>171</v>
          </cell>
          <cell r="D31">
            <v>946.66</v>
          </cell>
          <cell r="J31">
            <v>2</v>
          </cell>
          <cell r="K31">
            <v>111.46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388</v>
          </cell>
          <cell r="D34">
            <v>1347.44</v>
          </cell>
          <cell r="J34">
            <v>0</v>
          </cell>
          <cell r="K34">
            <v>0</v>
          </cell>
        </row>
        <row r="35">
          <cell r="C35">
            <v>12</v>
          </cell>
          <cell r="D35">
            <v>143.04</v>
          </cell>
          <cell r="J35">
            <v>0</v>
          </cell>
          <cell r="K35">
            <v>0</v>
          </cell>
        </row>
        <row r="36">
          <cell r="C36">
            <v>3</v>
          </cell>
          <cell r="D36">
            <v>53.68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1</v>
          </cell>
          <cell r="D38">
            <v>2.4700000000000002</v>
          </cell>
          <cell r="J38">
            <v>0</v>
          </cell>
          <cell r="K38">
            <v>0</v>
          </cell>
        </row>
        <row r="39">
          <cell r="C39">
            <v>14</v>
          </cell>
          <cell r="D39">
            <v>59.84</v>
          </cell>
          <cell r="J39">
            <v>0</v>
          </cell>
          <cell r="K39">
            <v>0</v>
          </cell>
        </row>
        <row r="40">
          <cell r="C40">
            <v>72</v>
          </cell>
          <cell r="D40">
            <v>138.93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14765.53</v>
          </cell>
        </row>
        <row r="11">
          <cell r="P11">
            <v>71376.55</v>
          </cell>
        </row>
        <row r="12">
          <cell r="P12">
            <v>26519.279999999999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65.97</v>
          </cell>
        </row>
        <row r="16">
          <cell r="P16">
            <v>734.98</v>
          </cell>
        </row>
        <row r="17">
          <cell r="P17">
            <v>16381.27</v>
          </cell>
        </row>
        <row r="20">
          <cell r="P20">
            <v>33270.839999999997</v>
          </cell>
        </row>
        <row r="26">
          <cell r="P26">
            <v>67597.509999999995</v>
          </cell>
        </row>
        <row r="33">
          <cell r="P33">
            <v>0</v>
          </cell>
        </row>
        <row r="34">
          <cell r="P34">
            <v>10.23</v>
          </cell>
        </row>
        <row r="35">
          <cell r="P35">
            <v>12188.63</v>
          </cell>
        </row>
        <row r="36">
          <cell r="P36">
            <v>22405.09</v>
          </cell>
        </row>
        <row r="37">
          <cell r="P37">
            <v>29.1</v>
          </cell>
        </row>
        <row r="38">
          <cell r="P38">
            <v>2940.75</v>
          </cell>
        </row>
        <row r="39">
          <cell r="P39">
            <v>0</v>
          </cell>
        </row>
        <row r="40">
          <cell r="P40">
            <v>2334.0100000000002</v>
          </cell>
        </row>
      </sheetData>
      <sheetData sheetId="5">
        <row r="10">
          <cell r="C10">
            <v>39474.71</v>
          </cell>
          <cell r="G10">
            <v>18078.62</v>
          </cell>
          <cell r="K10">
            <v>0</v>
          </cell>
        </row>
        <row r="11">
          <cell r="C11">
            <v>113370.9</v>
          </cell>
          <cell r="G11">
            <v>2208.9299999999998</v>
          </cell>
          <cell r="K11">
            <v>0</v>
          </cell>
        </row>
        <row r="12">
          <cell r="C12">
            <v>82278.73</v>
          </cell>
          <cell r="G12">
            <v>19389.95</v>
          </cell>
          <cell r="K12">
            <v>13179.24</v>
          </cell>
        </row>
        <row r="13">
          <cell r="C13">
            <v>0</v>
          </cell>
          <cell r="G13">
            <v>0</v>
          </cell>
          <cell r="K13">
            <v>0</v>
          </cell>
        </row>
        <row r="14">
          <cell r="C14">
            <v>0</v>
          </cell>
          <cell r="G14">
            <v>0</v>
          </cell>
          <cell r="K14">
            <v>0</v>
          </cell>
        </row>
        <row r="15">
          <cell r="C15">
            <v>153.74</v>
          </cell>
          <cell r="G15">
            <v>0</v>
          </cell>
          <cell r="K15">
            <v>0</v>
          </cell>
        </row>
        <row r="16">
          <cell r="C16">
            <v>2274.9899999999998</v>
          </cell>
          <cell r="G16">
            <v>317</v>
          </cell>
          <cell r="K16">
            <v>0</v>
          </cell>
        </row>
        <row r="17">
          <cell r="C17">
            <v>47945.11</v>
          </cell>
          <cell r="G17">
            <v>2210.56</v>
          </cell>
          <cell r="K17">
            <v>0</v>
          </cell>
        </row>
        <row r="20">
          <cell r="C20">
            <v>67481.679999999993</v>
          </cell>
          <cell r="G20">
            <v>2027.21</v>
          </cell>
          <cell r="K20">
            <v>0</v>
          </cell>
        </row>
        <row r="26">
          <cell r="C26">
            <v>188354.69</v>
          </cell>
          <cell r="G26">
            <v>204142.49</v>
          </cell>
          <cell r="K26">
            <v>9722.75</v>
          </cell>
        </row>
        <row r="33">
          <cell r="C33">
            <v>0</v>
          </cell>
          <cell r="G33">
            <v>0</v>
          </cell>
          <cell r="K33">
            <v>0</v>
          </cell>
        </row>
        <row r="34">
          <cell r="C34">
            <v>149.55000000000001</v>
          </cell>
          <cell r="G34">
            <v>0</v>
          </cell>
          <cell r="K34">
            <v>0</v>
          </cell>
        </row>
        <row r="35">
          <cell r="C35">
            <v>26911.73</v>
          </cell>
          <cell r="G35">
            <v>2097</v>
          </cell>
          <cell r="K35">
            <v>0</v>
          </cell>
        </row>
        <row r="36">
          <cell r="C36">
            <v>150282</v>
          </cell>
          <cell r="G36">
            <v>160</v>
          </cell>
          <cell r="K36">
            <v>0</v>
          </cell>
        </row>
        <row r="37">
          <cell r="C37">
            <v>77.14</v>
          </cell>
          <cell r="G37">
            <v>0</v>
          </cell>
          <cell r="K37">
            <v>0</v>
          </cell>
        </row>
        <row r="38">
          <cell r="C38">
            <v>8707.25</v>
          </cell>
          <cell r="G38">
            <v>131</v>
          </cell>
          <cell r="K38">
            <v>0</v>
          </cell>
        </row>
        <row r="39">
          <cell r="C39">
            <v>0</v>
          </cell>
          <cell r="G39">
            <v>0</v>
          </cell>
          <cell r="K39">
            <v>0</v>
          </cell>
        </row>
        <row r="40">
          <cell r="C40">
            <v>5577.48</v>
          </cell>
          <cell r="G40">
            <v>914</v>
          </cell>
          <cell r="K40">
            <v>0</v>
          </cell>
        </row>
        <row r="41">
          <cell r="C41">
            <v>733039.7</v>
          </cell>
          <cell r="D41">
            <v>2900.23</v>
          </cell>
          <cell r="E41">
            <v>243688.72</v>
          </cell>
          <cell r="G41">
            <v>251676.76</v>
          </cell>
          <cell r="I41">
            <v>14576.19</v>
          </cell>
          <cell r="K41">
            <v>22901.99</v>
          </cell>
          <cell r="M41">
            <v>0</v>
          </cell>
        </row>
      </sheetData>
      <sheetData sheetId="6">
        <row r="9">
          <cell r="C9">
            <v>2007</v>
          </cell>
          <cell r="D9">
            <v>18382.060000000001</v>
          </cell>
        </row>
        <row r="18">
          <cell r="C18">
            <v>3370</v>
          </cell>
          <cell r="D18">
            <v>46569.59</v>
          </cell>
          <cell r="E18">
            <v>12670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20</v>
          </cell>
          <cell r="D20">
            <v>7.04</v>
          </cell>
          <cell r="E20">
            <v>2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13371</v>
          </cell>
          <cell r="D22">
            <v>202507.06</v>
          </cell>
          <cell r="E22">
            <v>17637</v>
          </cell>
        </row>
        <row r="29">
          <cell r="C29">
            <v>15515</v>
          </cell>
          <cell r="D29">
            <v>112230.13</v>
          </cell>
          <cell r="E29">
            <v>337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Q21" sqref="Q21"/>
    </sheetView>
  </sheetViews>
  <sheetFormatPr defaultRowHeight="15" x14ac:dyDescent="0.25"/>
  <cols>
    <col min="1" max="1" width="3.85546875" customWidth="1"/>
    <col min="2" max="2" width="28.28515625" customWidth="1"/>
    <col min="3" max="3" width="11" bestFit="1" customWidth="1"/>
    <col min="4" max="4" width="9.5703125" bestFit="1" customWidth="1"/>
    <col min="8" max="8" width="9.85546875" bestFit="1" customWidth="1"/>
    <col min="10" max="10" width="10.28515625" bestFit="1" customWidth="1"/>
    <col min="14" max="14" width="9.85546875" bestFit="1" customWidth="1"/>
  </cols>
  <sheetData>
    <row r="1" spans="1:14" ht="24.75" customHeight="1" thickBot="1" x14ac:dyDescent="0.3">
      <c r="A1" s="151"/>
      <c r="B1" s="152"/>
      <c r="C1" s="434" t="s">
        <v>97</v>
      </c>
      <c r="D1" s="435"/>
      <c r="E1" s="435"/>
      <c r="F1" s="435"/>
      <c r="G1" s="435"/>
      <c r="H1" s="435"/>
      <c r="I1" s="435"/>
      <c r="J1" s="2"/>
      <c r="K1" s="2"/>
      <c r="L1" s="2"/>
      <c r="M1" s="2"/>
      <c r="N1" s="151" t="s">
        <v>35</v>
      </c>
    </row>
    <row r="2" spans="1:14" x14ac:dyDescent="0.25">
      <c r="A2" s="436" t="s">
        <v>0</v>
      </c>
      <c r="B2" s="438" t="s">
        <v>1</v>
      </c>
      <c r="C2" s="432" t="s">
        <v>2</v>
      </c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22" t="s">
        <v>3</v>
      </c>
    </row>
    <row r="3" spans="1:14" ht="15.75" thickBot="1" x14ac:dyDescent="0.3">
      <c r="A3" s="437"/>
      <c r="B3" s="439"/>
      <c r="C3" s="228" t="s">
        <v>68</v>
      </c>
      <c r="D3" s="227" t="s">
        <v>4</v>
      </c>
      <c r="E3" s="293" t="s">
        <v>5</v>
      </c>
      <c r="F3" s="298" t="s">
        <v>6</v>
      </c>
      <c r="G3" s="308" t="s">
        <v>8</v>
      </c>
      <c r="H3" s="312" t="s">
        <v>93</v>
      </c>
      <c r="I3" s="317" t="s">
        <v>96</v>
      </c>
      <c r="J3" s="316" t="s">
        <v>9</v>
      </c>
      <c r="K3" s="317" t="s">
        <v>92</v>
      </c>
      <c r="L3" s="316" t="s">
        <v>10</v>
      </c>
      <c r="M3" s="321" t="s">
        <v>95</v>
      </c>
      <c r="N3" s="423"/>
    </row>
    <row r="4" spans="1:14" x14ac:dyDescent="0.25">
      <c r="A4" s="5">
        <v>1</v>
      </c>
      <c r="B4" s="9" t="s">
        <v>11</v>
      </c>
      <c r="C4" s="142">
        <f>[1]STA_SP1_NO!$D$10</f>
        <v>65044.3</v>
      </c>
      <c r="D4" s="118">
        <f>[2]STA_SP1_NO!$D$10</f>
        <v>83421.8</v>
      </c>
      <c r="E4" s="294">
        <f>[3]STA_SP1_NO!$D$10</f>
        <v>6221</v>
      </c>
      <c r="F4" s="297">
        <f>[4]STA_SP1_NO!$D$10</f>
        <v>21295.18</v>
      </c>
      <c r="G4" s="309">
        <f>[5]STA_SP1_NO!$D$10</f>
        <v>53828.22</v>
      </c>
      <c r="H4" s="313">
        <f>[6]STA_SP1_NO!$D$10</f>
        <v>12296.18</v>
      </c>
      <c r="I4" s="318">
        <f>[7]STA_SP1_NO!$D$10</f>
        <v>17754</v>
      </c>
      <c r="J4" s="118">
        <f>[8]STA_SP1_NO!$D$10</f>
        <v>12061</v>
      </c>
      <c r="K4" s="318">
        <f>[9]STA_SP1_NO!$D$10</f>
        <v>20709.009999999998</v>
      </c>
      <c r="L4" s="144">
        <f>[10]STA_SP1_NO!$D$10</f>
        <v>44629</v>
      </c>
      <c r="M4" s="148">
        <f>[11]STA_SP1_NO!$D$10</f>
        <v>0</v>
      </c>
      <c r="N4" s="229">
        <f t="shared" ref="N4:N22" si="0">SUM(C4:M4)</f>
        <v>337259.69</v>
      </c>
    </row>
    <row r="5" spans="1:14" x14ac:dyDescent="0.25">
      <c r="A5" s="4">
        <v>2</v>
      </c>
      <c r="B5" s="10" t="s">
        <v>12</v>
      </c>
      <c r="C5" s="146">
        <f>[1]STA_SP1_NO!$D$20</f>
        <v>90272.58</v>
      </c>
      <c r="D5" s="118">
        <f>[2]STA_SP1_NO!$D$20</f>
        <v>118035.98</v>
      </c>
      <c r="E5" s="294">
        <f>[3]STA_SP1_NO!$D$20</f>
        <v>14742</v>
      </c>
      <c r="F5" s="296">
        <f>[4]STA_SP1_NO!$D$20</f>
        <v>31117.37</v>
      </c>
      <c r="G5" s="310">
        <f>[5]STA_SP1_NO!$D$20</f>
        <v>59340.959999999999</v>
      </c>
      <c r="H5" s="313">
        <f>[6]STA_SP1_NO!$D$20</f>
        <v>0</v>
      </c>
      <c r="I5" s="318">
        <f>[7]STA_SP1_NO!$D$20</f>
        <v>45020</v>
      </c>
      <c r="J5" s="118">
        <f>[8]STA_SP1_NO!$D$20</f>
        <v>0</v>
      </c>
      <c r="K5" s="318">
        <f>[9]STA_SP1_NO!$D$20</f>
        <v>100530.35</v>
      </c>
      <c r="L5" s="144">
        <f>[10]STA_SP1_NO!$D$20</f>
        <v>129427</v>
      </c>
      <c r="M5" s="148">
        <f>[11]STA_SP1_NO!$D$20</f>
        <v>0</v>
      </c>
      <c r="N5" s="229">
        <f t="shared" si="0"/>
        <v>588486.24</v>
      </c>
    </row>
    <row r="6" spans="1:14" x14ac:dyDescent="0.25">
      <c r="A6" s="4">
        <v>3</v>
      </c>
      <c r="B6" s="10" t="s">
        <v>13</v>
      </c>
      <c r="C6" s="146">
        <f>[1]STA_SP1_NO!$D$24</f>
        <v>49667.06</v>
      </c>
      <c r="D6" s="118">
        <f>[2]STA_SP1_NO!$D$24</f>
        <v>46637.45</v>
      </c>
      <c r="E6" s="294">
        <f>[3]STA_SP1_NO!$D$24</f>
        <v>18492</v>
      </c>
      <c r="F6" s="296">
        <f>[4]STA_SP1_NO!$D$24</f>
        <v>67968.009999999995</v>
      </c>
      <c r="G6" s="310">
        <f>[5]STA_SP1_NO!$D$24</f>
        <v>38363.61</v>
      </c>
      <c r="H6" s="313">
        <f>[6]STA_SP1_NO!$D$24</f>
        <v>6280.45</v>
      </c>
      <c r="I6" s="318">
        <f>[7]STA_SP1_NO!$D$24</f>
        <v>31272</v>
      </c>
      <c r="J6" s="118">
        <f>[8]STA_SP1_NO!$D$24</f>
        <v>34437</v>
      </c>
      <c r="K6" s="318">
        <f>[9]STA_SP1_NO!$D$24</f>
        <v>38714.269999999997</v>
      </c>
      <c r="L6" s="144">
        <f>[10]STA_SP1_NO!$D$24</f>
        <v>48241</v>
      </c>
      <c r="M6" s="148">
        <f>[11]STA_SP1_NO!$D$24</f>
        <v>0</v>
      </c>
      <c r="N6" s="229">
        <f t="shared" si="0"/>
        <v>380072.85000000003</v>
      </c>
    </row>
    <row r="7" spans="1:14" x14ac:dyDescent="0.25">
      <c r="A7" s="4">
        <v>4</v>
      </c>
      <c r="B7" s="10" t="s">
        <v>14</v>
      </c>
      <c r="C7" s="146">
        <f>[1]STA_SP1_NO!$D$27</f>
        <v>0</v>
      </c>
      <c r="D7" s="118">
        <f>[2]STA_SP1_NO!$D$27</f>
        <v>0</v>
      </c>
      <c r="E7" s="294">
        <f>[3]STA_SP1_NO!$D$27</f>
        <v>0</v>
      </c>
      <c r="F7" s="296">
        <f>[4]STA_SP1_NO!$D$27</f>
        <v>0</v>
      </c>
      <c r="G7" s="310">
        <f>[5]STA_SP1_NO!$D$27</f>
        <v>0</v>
      </c>
      <c r="H7" s="313">
        <f>[6]STA_SP1_NO!$D$27</f>
        <v>0</v>
      </c>
      <c r="I7" s="318">
        <f>[7]STA_SP1_NO!$D$27</f>
        <v>0</v>
      </c>
      <c r="J7" s="118">
        <f>[8]STA_SP1_NO!$D$27</f>
        <v>0</v>
      </c>
      <c r="K7" s="318">
        <f>[9]STA_SP1_NO!$D$27</f>
        <v>0</v>
      </c>
      <c r="L7" s="144">
        <f>[10]STA_SP1_NO!$D$27</f>
        <v>0</v>
      </c>
      <c r="M7" s="148">
        <f>[11]STA_SP1_NO!$D$27</f>
        <v>0</v>
      </c>
      <c r="N7" s="229">
        <f t="shared" si="0"/>
        <v>0</v>
      </c>
    </row>
    <row r="8" spans="1:14" x14ac:dyDescent="0.25">
      <c r="A8" s="4">
        <v>5</v>
      </c>
      <c r="B8" s="10" t="s">
        <v>15</v>
      </c>
      <c r="C8" s="146">
        <f>[1]STA_SP1_NO!$D$30</f>
        <v>0</v>
      </c>
      <c r="D8" s="118">
        <f>[2]STA_SP1_NO!$D$30</f>
        <v>0</v>
      </c>
      <c r="E8" s="294">
        <f>[3]STA_SP1_NO!$D$30</f>
        <v>0</v>
      </c>
      <c r="F8" s="296">
        <f>[4]STA_SP1_NO!$D$30</f>
        <v>0</v>
      </c>
      <c r="G8" s="310">
        <f>[5]STA_SP1_NO!$D$30</f>
        <v>15474.36</v>
      </c>
      <c r="H8" s="313">
        <f>[6]STA_SP1_NO!$D$30</f>
        <v>0</v>
      </c>
      <c r="I8" s="318">
        <f>[7]STA_SP1_NO!$D$30</f>
        <v>0</v>
      </c>
      <c r="J8" s="118">
        <f>[8]STA_SP1_NO!$D$30</f>
        <v>461</v>
      </c>
      <c r="K8" s="318">
        <f>[9]STA_SP1_NO!$D$30</f>
        <v>0</v>
      </c>
      <c r="L8" s="144">
        <f>[10]STA_SP1_NO!$D$30</f>
        <v>0</v>
      </c>
      <c r="M8" s="148">
        <f>[11]STA_SP1_NO!$D$30</f>
        <v>0</v>
      </c>
      <c r="N8" s="229">
        <f t="shared" si="0"/>
        <v>15935.36</v>
      </c>
    </row>
    <row r="9" spans="1:14" x14ac:dyDescent="0.25">
      <c r="A9" s="4">
        <v>6</v>
      </c>
      <c r="B9" s="10" t="s">
        <v>16</v>
      </c>
      <c r="C9" s="197">
        <f>[1]STA_SP1_NO!$D$33</f>
        <v>0</v>
      </c>
      <c r="D9" s="118">
        <f>[2]STA_SP1_NO!$D$33</f>
        <v>0</v>
      </c>
      <c r="E9" s="294">
        <f>[3]STA_SP1_NO!$D$33</f>
        <v>48</v>
      </c>
      <c r="F9" s="296">
        <f>[4]STA_SP1_NO!$D$33</f>
        <v>88.63</v>
      </c>
      <c r="G9" s="310">
        <f>[5]STA_SP1_NO!$D$33</f>
        <v>0</v>
      </c>
      <c r="H9" s="313">
        <f>[6]STA_SP1_NO!$D$33</f>
        <v>0</v>
      </c>
      <c r="I9" s="318">
        <f>[7]STA_SP1_NO!$D$33</f>
        <v>0</v>
      </c>
      <c r="J9" s="118">
        <f>[8]STA_SP1_NO!$D$33</f>
        <v>0</v>
      </c>
      <c r="K9" s="318">
        <f>[9]STA_SP1_NO!$D$33</f>
        <v>79.48</v>
      </c>
      <c r="L9" s="144">
        <f>[10]STA_SP1_NO!$D$33</f>
        <v>0</v>
      </c>
      <c r="M9" s="148">
        <f>[11]STA_SP1_NO!$D$33</f>
        <v>0</v>
      </c>
      <c r="N9" s="229">
        <f t="shared" si="0"/>
        <v>216.11</v>
      </c>
    </row>
    <row r="10" spans="1:14" x14ac:dyDescent="0.25">
      <c r="A10" s="4">
        <v>7</v>
      </c>
      <c r="B10" s="10" t="s">
        <v>17</v>
      </c>
      <c r="C10" s="146">
        <f>[1]STA_SP1_NO!$D$36</f>
        <v>6789.88</v>
      </c>
      <c r="D10" s="118">
        <f>[2]STA_SP1_NO!$D$36</f>
        <v>7698.76</v>
      </c>
      <c r="E10" s="294">
        <f>[3]STA_SP1_NO!$D$36</f>
        <v>4568</v>
      </c>
      <c r="F10" s="296">
        <f>[4]STA_SP1_NO!$D$36</f>
        <v>1884.29</v>
      </c>
      <c r="G10" s="310">
        <f>[5]STA_SP1_NO!$D$36</f>
        <v>1366.1</v>
      </c>
      <c r="H10" s="313">
        <f>[6]STA_SP1_NO!$D$36</f>
        <v>0</v>
      </c>
      <c r="I10" s="318">
        <f>[7]STA_SP1_NO!$D$36</f>
        <v>7784</v>
      </c>
      <c r="J10" s="118">
        <f>[8]STA_SP1_NO!$D$36</f>
        <v>612</v>
      </c>
      <c r="K10" s="318">
        <f>[9]STA_SP1_NO!$D$36</f>
        <v>885.52</v>
      </c>
      <c r="L10" s="144">
        <f>[10]STA_SP1_NO!$D$36</f>
        <v>929</v>
      </c>
      <c r="M10" s="148">
        <f>[11]STA_SP1_NO!$D$36</f>
        <v>0</v>
      </c>
      <c r="N10" s="229">
        <f t="shared" si="0"/>
        <v>32517.55</v>
      </c>
    </row>
    <row r="11" spans="1:14" x14ac:dyDescent="0.25">
      <c r="A11" s="4">
        <v>8</v>
      </c>
      <c r="B11" s="10" t="s">
        <v>18</v>
      </c>
      <c r="C11" s="146">
        <f>[1]STA_SP1_NO!$D$40</f>
        <v>91777.01</v>
      </c>
      <c r="D11" s="118">
        <f>[2]STA_SP1_NO!$D$40</f>
        <v>46007.56</v>
      </c>
      <c r="E11" s="294">
        <f>[3]STA_SP1_NO!$D$40</f>
        <v>8986</v>
      </c>
      <c r="F11" s="296">
        <f>[4]STA_SP1_NO!$D$40</f>
        <v>38586.76</v>
      </c>
      <c r="G11" s="310">
        <f>[5]STA_SP1_NO!$D$40</f>
        <v>41252.75</v>
      </c>
      <c r="H11" s="313">
        <f>[6]STA_SP1_NO!$D$40</f>
        <v>1056.46</v>
      </c>
      <c r="I11" s="318">
        <f>[7]STA_SP1_NO!$D$40</f>
        <v>19965</v>
      </c>
      <c r="J11" s="118">
        <f>[8]STA_SP1_NO!$D$40</f>
        <v>16164</v>
      </c>
      <c r="K11" s="318">
        <f>[9]STA_SP1_NO!$D$40</f>
        <v>28243.58</v>
      </c>
      <c r="L11" s="144">
        <f>[10]STA_SP1_NO!$D$40</f>
        <v>19685</v>
      </c>
      <c r="M11" s="148">
        <f>[11]STA_SP1_NO!$D$40</f>
        <v>0</v>
      </c>
      <c r="N11" s="229">
        <f t="shared" si="0"/>
        <v>311724.12000000005</v>
      </c>
    </row>
    <row r="12" spans="1:14" x14ac:dyDescent="0.25">
      <c r="A12" s="4">
        <v>9</v>
      </c>
      <c r="B12" s="10" t="s">
        <v>19</v>
      </c>
      <c r="C12" s="146">
        <f>[1]STA_SP1_NO!$D$56</f>
        <v>170586.86</v>
      </c>
      <c r="D12" s="118">
        <f>[2]STA_SP1_NO!$D$56</f>
        <v>58428.92</v>
      </c>
      <c r="E12" s="294">
        <f>[3]STA_SP1_NO!$D$56</f>
        <v>5237</v>
      </c>
      <c r="F12" s="296">
        <f>[4]STA_SP1_NO!$D$56</f>
        <v>61753.7</v>
      </c>
      <c r="G12" s="310">
        <f>[5]STA_SP1_NO!$D$56</f>
        <v>15324.19</v>
      </c>
      <c r="H12" s="313">
        <f>[6]STA_SP1_NO!$D$56</f>
        <v>457.02</v>
      </c>
      <c r="I12" s="318">
        <f>[7]STA_SP1_NO!$D$56</f>
        <v>58046</v>
      </c>
      <c r="J12" s="118">
        <f>[8]STA_SP1_NO!$D$56</f>
        <v>7086.76</v>
      </c>
      <c r="K12" s="318">
        <f>[9]STA_SP1_NO!$D$56</f>
        <v>49657.99</v>
      </c>
      <c r="L12" s="144">
        <f>[10]STA_SP1_NO!$D$56</f>
        <v>34164</v>
      </c>
      <c r="M12" s="148">
        <f>[11]STA_SP1_NO!$D$56</f>
        <v>0</v>
      </c>
      <c r="N12" s="229">
        <f t="shared" si="0"/>
        <v>460742.44</v>
      </c>
    </row>
    <row r="13" spans="1:14" x14ac:dyDescent="0.25">
      <c r="A13" s="4">
        <v>10</v>
      </c>
      <c r="B13" s="10" t="s">
        <v>20</v>
      </c>
      <c r="C13" s="146">
        <f>[1]STA_SP1_NO!$D$88</f>
        <v>209661.88</v>
      </c>
      <c r="D13" s="118">
        <f>[2]STA_SP1_NO!$D$88</f>
        <v>105851.72</v>
      </c>
      <c r="E13" s="294">
        <f>[3]STA_SP1_NO!$D$88</f>
        <v>80612</v>
      </c>
      <c r="F13" s="296">
        <f>[4]STA_SP1_NO!$D$88</f>
        <v>131835.01</v>
      </c>
      <c r="G13" s="310">
        <f>[5]STA_SP1_NO!$D$88</f>
        <v>114742.49</v>
      </c>
      <c r="H13" s="313">
        <f>[6]STA_SP1_NO!$D$88</f>
        <v>170474.67</v>
      </c>
      <c r="I13" s="318">
        <f>[7]STA_SP1_NO!$D$88</f>
        <v>258366</v>
      </c>
      <c r="J13" s="118">
        <f>[8]STA_SP1_NO!$D$88</f>
        <v>139869</v>
      </c>
      <c r="K13" s="318">
        <f>[9]STA_SP1_NO!$D$88</f>
        <v>87880.28</v>
      </c>
      <c r="L13" s="144">
        <f>[10]STA_SP1_NO!$D$88</f>
        <v>166943</v>
      </c>
      <c r="M13" s="148">
        <f>[11]STA_SP1_NO!$D$88</f>
        <v>85.51</v>
      </c>
      <c r="N13" s="229">
        <f t="shared" si="0"/>
        <v>1466321.56</v>
      </c>
    </row>
    <row r="14" spans="1:14" x14ac:dyDescent="0.25">
      <c r="A14" s="4">
        <v>11</v>
      </c>
      <c r="B14" s="10" t="s">
        <v>21</v>
      </c>
      <c r="C14" s="146">
        <f>[1]STA_SP1_NO!$D$124</f>
        <v>18.73</v>
      </c>
      <c r="D14" s="118">
        <f>[2]STA_SP1_NO!$D$124</f>
        <v>100.98</v>
      </c>
      <c r="E14" s="294">
        <f>[3]STA_SP1_NO!$D$124</f>
        <v>0</v>
      </c>
      <c r="F14" s="296">
        <f>[4]STA_SP1_NO!$D$124</f>
        <v>0</v>
      </c>
      <c r="G14" s="310">
        <f>[5]STA_SP1_NO!$D$124</f>
        <v>2597.2600000000002</v>
      </c>
      <c r="H14" s="313">
        <f>[6]STA_SP1_NO!$D$124</f>
        <v>0</v>
      </c>
      <c r="I14" s="318">
        <f>[7]STA_SP1_NO!$D$124</f>
        <v>0</v>
      </c>
      <c r="J14" s="118">
        <f>[8]STA_SP1_NO!$D$124</f>
        <v>226</v>
      </c>
      <c r="K14" s="318">
        <f>[9]STA_SP1_NO!$D$124</f>
        <v>0</v>
      </c>
      <c r="L14" s="144">
        <f>[10]STA_SP1_NO!$D$124</f>
        <v>248</v>
      </c>
      <c r="M14" s="148">
        <f>[11]STA_SP1_NO!$D$124</f>
        <v>0</v>
      </c>
      <c r="N14" s="229">
        <f t="shared" si="0"/>
        <v>3190.9700000000003</v>
      </c>
    </row>
    <row r="15" spans="1:14" x14ac:dyDescent="0.25">
      <c r="A15" s="4">
        <v>12</v>
      </c>
      <c r="B15" s="10" t="s">
        <v>22</v>
      </c>
      <c r="C15" s="197">
        <f>[1]STA_SP1_NO!$D$128</f>
        <v>21.66</v>
      </c>
      <c r="D15" s="118">
        <f>[2]STA_SP1_NO!$D$128</f>
        <v>0</v>
      </c>
      <c r="E15" s="294">
        <f>[3]STA_SP1_NO!$D$128</f>
        <v>0.02</v>
      </c>
      <c r="F15" s="296">
        <f>[4]STA_SP1_NO!$D$128</f>
        <v>62.32</v>
      </c>
      <c r="G15" s="310">
        <f>[5]STA_SP1_NO!$D$128</f>
        <v>52.2</v>
      </c>
      <c r="H15" s="313">
        <f>[6]STA_SP1_NO!$D$128</f>
        <v>0</v>
      </c>
      <c r="I15" s="318">
        <f>[7]STA_SP1_NO!$D$128</f>
        <v>82</v>
      </c>
      <c r="J15" s="118">
        <f>[8]STA_SP1_NO!$D$128</f>
        <v>14</v>
      </c>
      <c r="K15" s="318">
        <f>[9]STA_SP1_NO!$D$128</f>
        <v>12.32</v>
      </c>
      <c r="L15" s="144">
        <f>[10]STA_SP1_NO!$D$128</f>
        <v>5</v>
      </c>
      <c r="M15" s="148">
        <f>[11]STA_SP1_NO!$D$128</f>
        <v>0</v>
      </c>
      <c r="N15" s="229">
        <f t="shared" si="0"/>
        <v>249.51999999999998</v>
      </c>
    </row>
    <row r="16" spans="1:14" x14ac:dyDescent="0.25">
      <c r="A16" s="4">
        <v>13</v>
      </c>
      <c r="B16" s="10" t="s">
        <v>23</v>
      </c>
      <c r="C16" s="146">
        <f>[1]STA_SP1_NO!$D$132</f>
        <v>13078.31</v>
      </c>
      <c r="D16" s="118">
        <f>[2]STA_SP1_NO!$D$132</f>
        <v>18096.419999999998</v>
      </c>
      <c r="E16" s="294">
        <f>[3]STA_SP1_NO!$D$132</f>
        <v>2123</v>
      </c>
      <c r="F16" s="296">
        <f>[4]STA_SP1_NO!$D$132</f>
        <v>9862.11</v>
      </c>
      <c r="G16" s="310">
        <f>[5]STA_SP1_NO!$D$132</f>
        <v>17953.189999999999</v>
      </c>
      <c r="H16" s="313">
        <f>[6]STA_SP1_NO!$D$132</f>
        <v>491.01</v>
      </c>
      <c r="I16" s="318">
        <f>[7]STA_SP1_NO!$D$132</f>
        <v>19829</v>
      </c>
      <c r="J16" s="118">
        <f>[8]STA_SP1_NO!$D$132</f>
        <v>9089.7000000000007</v>
      </c>
      <c r="K16" s="318">
        <f>[9]STA_SP1_NO!$D$132</f>
        <v>15454.09</v>
      </c>
      <c r="L16" s="144">
        <f>[10]STA_SP1_NO!$D$132</f>
        <v>6822</v>
      </c>
      <c r="M16" s="148">
        <f>[11]STA_SP1_NO!$D$132</f>
        <v>0</v>
      </c>
      <c r="N16" s="229">
        <f t="shared" si="0"/>
        <v>112798.83</v>
      </c>
    </row>
    <row r="17" spans="1:15" x14ac:dyDescent="0.25">
      <c r="A17" s="4">
        <v>14</v>
      </c>
      <c r="B17" s="10" t="s">
        <v>24</v>
      </c>
      <c r="C17" s="146">
        <f>[1]STA_SP1_NO!$D$153</f>
        <v>2881.48</v>
      </c>
      <c r="D17" s="118">
        <f>[2]STA_SP1_NO!$D$153</f>
        <v>1490.99</v>
      </c>
      <c r="E17" s="294">
        <f>[3]STA_SP1_NO!$D$153</f>
        <v>18</v>
      </c>
      <c r="F17" s="296">
        <f>[4]STA_SP1_NO!$D$153</f>
        <v>2028.28</v>
      </c>
      <c r="G17" s="310">
        <f>[5]STA_SP1_NO!$D$153</f>
        <v>0</v>
      </c>
      <c r="H17" s="313">
        <f>[6]STA_SP1_NO!$D$153</f>
        <v>0</v>
      </c>
      <c r="I17" s="318">
        <f>[7]STA_SP1_NO!$D$153</f>
        <v>0</v>
      </c>
      <c r="J17" s="118">
        <f>[8]STA_SP1_NO!$D$153</f>
        <v>0</v>
      </c>
      <c r="K17" s="318">
        <f>[9]STA_SP1_NO!$D$153</f>
        <v>29873.46</v>
      </c>
      <c r="L17" s="144">
        <f>[10]STA_SP1_NO!$D$153</f>
        <v>3510</v>
      </c>
      <c r="M17" s="148">
        <f>[11]STA_SP1_NO!$D$153</f>
        <v>0</v>
      </c>
      <c r="N17" s="229">
        <f t="shared" si="0"/>
        <v>39802.21</v>
      </c>
    </row>
    <row r="18" spans="1:15" x14ac:dyDescent="0.25">
      <c r="A18" s="4">
        <v>15</v>
      </c>
      <c r="B18" s="10" t="s">
        <v>25</v>
      </c>
      <c r="C18" s="197">
        <f>[1]STA_SP1_NO!$D$158</f>
        <v>0</v>
      </c>
      <c r="D18" s="118">
        <f>[2]STA_SP1_NO!$D$158</f>
        <v>0</v>
      </c>
      <c r="E18" s="294">
        <f>[3]STA_SP1_NO!$D$158</f>
        <v>2182</v>
      </c>
      <c r="F18" s="296">
        <f>[4]STA_SP1_NO!$D$158</f>
        <v>4</v>
      </c>
      <c r="G18" s="310">
        <f>[5]STA_SP1_NO!$D$158</f>
        <v>1.19</v>
      </c>
      <c r="H18" s="313">
        <f>[6]STA_SP1_NO!$D$158</f>
        <v>0</v>
      </c>
      <c r="I18" s="318">
        <f>[7]STA_SP1_NO!$D$158</f>
        <v>0</v>
      </c>
      <c r="J18" s="118">
        <f>[8]STA_SP1_NO!$D$158</f>
        <v>0</v>
      </c>
      <c r="K18" s="318">
        <f>[9]STA_SP1_NO!$D$158</f>
        <v>36.9</v>
      </c>
      <c r="L18" s="144">
        <f>[10]STA_SP1_NO!$D$158</f>
        <v>0</v>
      </c>
      <c r="M18" s="148">
        <f>[11]STA_SP1_NO!$D$158</f>
        <v>0</v>
      </c>
      <c r="N18" s="229">
        <f t="shared" si="0"/>
        <v>2224.09</v>
      </c>
    </row>
    <row r="19" spans="1:15" x14ac:dyDescent="0.25">
      <c r="A19" s="4">
        <v>16</v>
      </c>
      <c r="B19" s="10" t="s">
        <v>26</v>
      </c>
      <c r="C19" s="146">
        <f>[1]STA_SP1_NO!$D$161</f>
        <v>1986.63</v>
      </c>
      <c r="D19" s="118">
        <f>[2]STA_SP1_NO!$D$161</f>
        <v>22406.78</v>
      </c>
      <c r="E19" s="294">
        <f>[3]STA_SP1_NO!$D$161</f>
        <v>3</v>
      </c>
      <c r="F19" s="296">
        <f>[4]STA_SP1_NO!$D$161</f>
        <v>8176.1</v>
      </c>
      <c r="G19" s="310">
        <f>[5]STA_SP1_NO!$D$161</f>
        <v>90.04</v>
      </c>
      <c r="H19" s="313">
        <f>[6]STA_SP1_NO!$D$161</f>
        <v>0</v>
      </c>
      <c r="I19" s="318">
        <f>[7]STA_SP1_NO!$D$161</f>
        <v>3048</v>
      </c>
      <c r="J19" s="118">
        <f>[8]STA_SP1_NO!$D$161</f>
        <v>0</v>
      </c>
      <c r="K19" s="318">
        <f>[9]STA_SP1_NO!$D$161</f>
        <v>3728.61</v>
      </c>
      <c r="L19" s="144">
        <f>[10]STA_SP1_NO!$D$161</f>
        <v>263</v>
      </c>
      <c r="M19" s="148">
        <f>[11]STA_SP1_NO!$D$161</f>
        <v>0</v>
      </c>
      <c r="N19" s="229">
        <f t="shared" si="0"/>
        <v>39702.160000000003</v>
      </c>
    </row>
    <row r="20" spans="1:15" x14ac:dyDescent="0.25">
      <c r="A20" s="4">
        <v>17</v>
      </c>
      <c r="B20" s="10" t="s">
        <v>27</v>
      </c>
      <c r="C20" s="146">
        <f>[1]STA_SP1_NO!$D$167</f>
        <v>0</v>
      </c>
      <c r="D20" s="118">
        <f>[2]STA_SP1_NO!$D$167</f>
        <v>0</v>
      </c>
      <c r="E20" s="294">
        <f>[3]STA_SP1_NO!$D$167</f>
        <v>0</v>
      </c>
      <c r="F20" s="296">
        <f>[4]STA_SP1_NO!$D$167</f>
        <v>0</v>
      </c>
      <c r="G20" s="310">
        <f>[5]STA_SP1_NO!$D$167</f>
        <v>0</v>
      </c>
      <c r="H20" s="313">
        <f>[6]STA_SP1_NO!$D$167</f>
        <v>0</v>
      </c>
      <c r="I20" s="318">
        <f>[7]STA_SP1_NO!$D$167</f>
        <v>0</v>
      </c>
      <c r="J20" s="118">
        <f>[8]STA_SP1_NO!$D$167</f>
        <v>0</v>
      </c>
      <c r="K20" s="318">
        <f>[9]STA_SP1_NO!$D$167</f>
        <v>0</v>
      </c>
      <c r="L20" s="144">
        <f>[10]STA_SP1_NO!$D$167</f>
        <v>0</v>
      </c>
      <c r="M20" s="148">
        <f>[11]STA_SP1_NO!$D$167</f>
        <v>0</v>
      </c>
      <c r="N20" s="229">
        <f t="shared" si="0"/>
        <v>0</v>
      </c>
    </row>
    <row r="21" spans="1:15" ht="15.75" thickBot="1" x14ac:dyDescent="0.3">
      <c r="A21" s="6">
        <v>18</v>
      </c>
      <c r="B21" s="11" t="s">
        <v>28</v>
      </c>
      <c r="C21" s="147">
        <f>[1]STA_SP1_NO!$D$170</f>
        <v>4544.49</v>
      </c>
      <c r="D21" s="118">
        <f>[2]STA_SP1_NO!$D$170</f>
        <v>10695.32</v>
      </c>
      <c r="E21" s="294">
        <f>[3]STA_SP1_NO!$D$170</f>
        <v>1874</v>
      </c>
      <c r="F21" s="299">
        <f>[4]STA_SP1_NO!$D$170</f>
        <v>10663.53</v>
      </c>
      <c r="G21" s="311">
        <f>[5]STA_SP1_NO!$D$170</f>
        <v>9937.36</v>
      </c>
      <c r="H21" s="314">
        <f>[6]STA_SP1_NO!$D$170</f>
        <v>1230.9100000000001</v>
      </c>
      <c r="I21" s="319">
        <f>[7]STA_SP1_NO!$D$170</f>
        <v>5420</v>
      </c>
      <c r="J21" s="315">
        <f>[8]STA_SP1_NO!$D$170</f>
        <v>4708</v>
      </c>
      <c r="K21" s="318">
        <f>[9]STA_SP1_NO!$D$170</f>
        <v>3890.02</v>
      </c>
      <c r="L21" s="301">
        <f>[10]STA_SP1_NO!$D$170</f>
        <v>6171</v>
      </c>
      <c r="M21" s="322">
        <f>[11]STA_SP1_NO!$D$170</f>
        <v>0</v>
      </c>
      <c r="N21" s="229">
        <f t="shared" si="0"/>
        <v>59134.63</v>
      </c>
    </row>
    <row r="22" spans="1:15" ht="15.75" thickBot="1" x14ac:dyDescent="0.3">
      <c r="A22" s="7"/>
      <c r="B22" s="19" t="s">
        <v>29</v>
      </c>
      <c r="C22" s="153">
        <f t="shared" ref="C22" si="1">SUM(C4:C21)</f>
        <v>706330.87000000011</v>
      </c>
      <c r="D22" s="154">
        <f>SUM(D4:D21)</f>
        <v>518872.67999999988</v>
      </c>
      <c r="E22" s="153">
        <f>SUM(E4:E21)</f>
        <v>145106.01999999999</v>
      </c>
      <c r="F22" s="295">
        <f>SUM(F4:F21)</f>
        <v>385325.29000000004</v>
      </c>
      <c r="G22" s="300">
        <f>SUM(G4:G21)</f>
        <v>370323.92</v>
      </c>
      <c r="H22" s="302">
        <f>SUM(H4:H21)</f>
        <v>192286.70000000004</v>
      </c>
      <c r="I22" s="320">
        <f t="shared" ref="I22:M22" si="2">SUM(I4:I21)</f>
        <v>466586</v>
      </c>
      <c r="J22" s="303">
        <f t="shared" si="2"/>
        <v>224728.46000000002</v>
      </c>
      <c r="K22" s="320">
        <f t="shared" si="2"/>
        <v>379695.88000000006</v>
      </c>
      <c r="L22" s="303">
        <f t="shared" si="2"/>
        <v>461037</v>
      </c>
      <c r="M22" s="323">
        <f t="shared" si="2"/>
        <v>85.51</v>
      </c>
      <c r="N22" s="324">
        <f t="shared" si="0"/>
        <v>3850378.33</v>
      </c>
      <c r="O22" s="304"/>
    </row>
    <row r="23" spans="1:15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7"/>
      <c r="N23" s="16"/>
      <c r="O23" s="305"/>
    </row>
    <row r="24" spans="1:15" ht="15.75" thickBot="1" x14ac:dyDescent="0.3">
      <c r="A24" s="428" t="s">
        <v>30</v>
      </c>
      <c r="B24" s="429"/>
      <c r="C24" s="23">
        <f>C22/N22</f>
        <v>0.18344453699436858</v>
      </c>
      <c r="D24" s="23">
        <f>D22/N22</f>
        <v>0.13475888225248761</v>
      </c>
      <c r="E24" s="23">
        <f>E22/N22</f>
        <v>3.7686171997544975E-2</v>
      </c>
      <c r="F24" s="82">
        <f>F22/N22</f>
        <v>0.10007465681950273</v>
      </c>
      <c r="G24" s="23">
        <f>G22/N22</f>
        <v>9.6178579937104505E-2</v>
      </c>
      <c r="H24" s="82">
        <f>H22/N22</f>
        <v>4.9939689952493586E-2</v>
      </c>
      <c r="I24" s="23">
        <f>I22/N22</f>
        <v>0.12117926084421943</v>
      </c>
      <c r="J24" s="82">
        <f>J22/N22</f>
        <v>5.8365293158088187E-2</v>
      </c>
      <c r="K24" s="23">
        <f>K22/N22</f>
        <v>9.8612616075054643E-2</v>
      </c>
      <c r="L24" s="82">
        <f>L22/N22</f>
        <v>0.11973810376187111</v>
      </c>
      <c r="M24" s="23">
        <f>M22/N22</f>
        <v>2.2208207264661185E-5</v>
      </c>
      <c r="N24" s="82">
        <f>N22/N22</f>
        <v>1</v>
      </c>
      <c r="O24" s="306"/>
    </row>
    <row r="25" spans="1:15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15.75" thickBot="1" x14ac:dyDescent="0.3">
      <c r="A26" s="436" t="s">
        <v>0</v>
      </c>
      <c r="B26" s="438" t="s">
        <v>1</v>
      </c>
      <c r="C26" s="443" t="s">
        <v>89</v>
      </c>
      <c r="D26" s="444"/>
      <c r="E26" s="444"/>
      <c r="F26" s="444"/>
      <c r="G26" s="444"/>
      <c r="H26" s="445"/>
      <c r="I26" s="441" t="s">
        <v>3</v>
      </c>
      <c r="J26" s="1"/>
      <c r="K26" s="1"/>
      <c r="L26" s="1"/>
      <c r="M26" s="1"/>
      <c r="N26" s="1"/>
    </row>
    <row r="27" spans="1:15" ht="15.75" thickBot="1" x14ac:dyDescent="0.3">
      <c r="A27" s="437"/>
      <c r="B27" s="440"/>
      <c r="C27" s="180" t="s">
        <v>10</v>
      </c>
      <c r="D27" s="181" t="s">
        <v>31</v>
      </c>
      <c r="E27" s="180" t="s">
        <v>7</v>
      </c>
      <c r="F27" s="181" t="s">
        <v>96</v>
      </c>
      <c r="G27" s="182" t="s">
        <v>4</v>
      </c>
      <c r="H27" s="211" t="s">
        <v>94</v>
      </c>
      <c r="I27" s="442"/>
      <c r="J27" s="81"/>
      <c r="K27" s="430" t="s">
        <v>32</v>
      </c>
      <c r="L27" s="431"/>
      <c r="M27" s="232">
        <f>N22</f>
        <v>3850378.33</v>
      </c>
      <c r="N27" s="233">
        <f>M27/M29</f>
        <v>0.81860008520258054</v>
      </c>
    </row>
    <row r="28" spans="1:15" ht="15.75" thickBot="1" x14ac:dyDescent="0.3">
      <c r="A28" s="22">
        <v>19</v>
      </c>
      <c r="B28" s="128" t="s">
        <v>33</v>
      </c>
      <c r="C28" s="187">
        <f>[12]STA_SP1_ZO!$J$51</f>
        <v>236495</v>
      </c>
      <c r="D28" s="209">
        <f>[13]STA_SP1_ZO!$J$51</f>
        <v>115350</v>
      </c>
      <c r="E28" s="187">
        <f>[14]STA_SP1_ZO!$J$51</f>
        <v>174654</v>
      </c>
      <c r="F28" s="186">
        <f>[15]STA_SP1_ZO!$J$51</f>
        <v>96107</v>
      </c>
      <c r="G28" s="187">
        <f>[16]STA_SP1_ZO!$J$51</f>
        <v>219162.59</v>
      </c>
      <c r="H28" s="188">
        <f>[17]STA_SP1_ZO!$J$51</f>
        <v>11466.48</v>
      </c>
      <c r="I28" s="230">
        <f>SUM(C28:H28)</f>
        <v>853235.07</v>
      </c>
      <c r="J28" s="81"/>
      <c r="K28" s="424" t="s">
        <v>33</v>
      </c>
      <c r="L28" s="425"/>
      <c r="M28" s="234">
        <f>I28</f>
        <v>853235.07</v>
      </c>
      <c r="N28" s="235">
        <f>M28/M29</f>
        <v>0.18139991479741935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26" t="s">
        <v>3</v>
      </c>
      <c r="L29" s="427"/>
      <c r="M29" s="236">
        <f>M27+M28</f>
        <v>4703613.4000000004</v>
      </c>
      <c r="N29" s="237">
        <f>M29/M29</f>
        <v>1</v>
      </c>
    </row>
    <row r="30" spans="1:15" ht="15.75" thickBot="1" x14ac:dyDescent="0.3">
      <c r="A30" s="428" t="s">
        <v>34</v>
      </c>
      <c r="B30" s="429"/>
      <c r="C30" s="23">
        <f>C28/I28</f>
        <v>0.27717449541777511</v>
      </c>
      <c r="D30" s="82">
        <f>D28/I28</f>
        <v>0.13519134885067488</v>
      </c>
      <c r="E30" s="23">
        <f>E28/I28</f>
        <v>0.20469622750035346</v>
      </c>
      <c r="F30" s="82">
        <f>F28/I28</f>
        <v>0.11263836119628792</v>
      </c>
      <c r="G30" s="23">
        <f>G28/I28</f>
        <v>0.2568607382722794</v>
      </c>
      <c r="H30" s="82">
        <f>H28/I28</f>
        <v>1.3438828762629272E-2</v>
      </c>
      <c r="I30" s="231">
        <f>I28/I28</f>
        <v>1</v>
      </c>
      <c r="J30" s="1"/>
      <c r="K30" s="1"/>
      <c r="L30" s="1"/>
      <c r="M30" s="1"/>
      <c r="N30" s="1"/>
    </row>
    <row r="37" spans="8:8" x14ac:dyDescent="0.25">
      <c r="H37" s="198"/>
    </row>
  </sheetData>
  <mergeCells count="14">
    <mergeCell ref="C1:I1"/>
    <mergeCell ref="A2:A3"/>
    <mergeCell ref="B2:B3"/>
    <mergeCell ref="A26:A27"/>
    <mergeCell ref="B26:B27"/>
    <mergeCell ref="A24:B24"/>
    <mergeCell ref="I26:I27"/>
    <mergeCell ref="C26:H26"/>
    <mergeCell ref="N2:N3"/>
    <mergeCell ref="K28:L28"/>
    <mergeCell ref="K29:L29"/>
    <mergeCell ref="A30:B30"/>
    <mergeCell ref="K27:L27"/>
    <mergeCell ref="C2:M2"/>
  </mergeCells>
  <pageMargins left="0.25" right="0.25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K36" sqref="K36"/>
    </sheetView>
  </sheetViews>
  <sheetFormatPr defaultRowHeight="15" x14ac:dyDescent="0.25"/>
  <cols>
    <col min="1" max="1" width="4.5703125" customWidth="1"/>
    <col min="2" max="2" width="21.7109375" customWidth="1"/>
  </cols>
  <sheetData>
    <row r="1" spans="1:15" ht="24.75" customHeight="1" thickBot="1" x14ac:dyDescent="0.3">
      <c r="A1" s="26"/>
      <c r="B1" s="26"/>
      <c r="C1" s="469" t="s">
        <v>106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52"/>
    </row>
    <row r="2" spans="1:15" ht="15.75" thickBot="1" x14ac:dyDescent="0.3">
      <c r="A2" s="472" t="s">
        <v>0</v>
      </c>
      <c r="B2" s="474" t="s">
        <v>1</v>
      </c>
      <c r="C2" s="494" t="s">
        <v>2</v>
      </c>
      <c r="D2" s="495"/>
      <c r="E2" s="495"/>
      <c r="F2" s="495"/>
      <c r="G2" s="495"/>
      <c r="H2" s="495"/>
      <c r="I2" s="495"/>
      <c r="J2" s="495"/>
      <c r="K2" s="495"/>
      <c r="L2" s="495"/>
      <c r="M2" s="496"/>
      <c r="N2" s="499" t="s">
        <v>3</v>
      </c>
    </row>
    <row r="3" spans="1:15" x14ac:dyDescent="0.25">
      <c r="A3" s="512"/>
      <c r="B3" s="513"/>
      <c r="C3" s="519" t="s">
        <v>68</v>
      </c>
      <c r="D3" s="513" t="s">
        <v>4</v>
      </c>
      <c r="E3" s="523" t="s">
        <v>5</v>
      </c>
      <c r="F3" s="474" t="s">
        <v>6</v>
      </c>
      <c r="G3" s="508" t="s">
        <v>8</v>
      </c>
      <c r="H3" s="474" t="s">
        <v>93</v>
      </c>
      <c r="I3" s="506" t="s">
        <v>96</v>
      </c>
      <c r="J3" s="516" t="s">
        <v>9</v>
      </c>
      <c r="K3" s="506" t="s">
        <v>92</v>
      </c>
      <c r="L3" s="474" t="s">
        <v>10</v>
      </c>
      <c r="M3" s="510" t="s">
        <v>95</v>
      </c>
      <c r="N3" s="500"/>
    </row>
    <row r="4" spans="1:15" ht="15.75" thickBot="1" x14ac:dyDescent="0.3">
      <c r="A4" s="507"/>
      <c r="B4" s="514"/>
      <c r="C4" s="521"/>
      <c r="D4" s="507"/>
      <c r="E4" s="507"/>
      <c r="F4" s="507"/>
      <c r="G4" s="509"/>
      <c r="H4" s="475"/>
      <c r="I4" s="515"/>
      <c r="J4" s="517"/>
      <c r="K4" s="515"/>
      <c r="L4" s="475"/>
      <c r="M4" s="511"/>
      <c r="N4" s="501"/>
    </row>
    <row r="5" spans="1:15" x14ac:dyDescent="0.25">
      <c r="A5" s="30">
        <v>1</v>
      </c>
      <c r="B5" s="31" t="s">
        <v>38</v>
      </c>
      <c r="C5" s="62">
        <f>[1]STA_SP2_NO!$C$25</f>
        <v>6626</v>
      </c>
      <c r="D5" s="118">
        <f>[2]STA_SP2_NO!$C$25</f>
        <v>4047</v>
      </c>
      <c r="E5" s="61">
        <f>[3]STA_SP2_NO!$C$25</f>
        <v>2368</v>
      </c>
      <c r="F5" s="118">
        <f>[4]STA_SP2_NO!$C$25</f>
        <v>5072</v>
      </c>
      <c r="G5" s="143">
        <f>[5]STA_SP2_NO!$C$25</f>
        <v>4821</v>
      </c>
      <c r="H5" s="118">
        <f>[6]STA_SP2_NO!$C$25</f>
        <v>6154</v>
      </c>
      <c r="I5" s="143">
        <f>[7]STA_SP2_NO!$C$25</f>
        <v>10368</v>
      </c>
      <c r="J5" s="54">
        <f>[8]STA_SP2_NO!$C$25</f>
        <v>4935</v>
      </c>
      <c r="K5" s="143">
        <f>[9]STA_SP2_NO!$C$25</f>
        <v>2988</v>
      </c>
      <c r="L5" s="387">
        <f>[10]STA_SP2_NO!$C$25</f>
        <v>6101</v>
      </c>
      <c r="M5" s="332">
        <f>[11]STA_SP2_NO!$C$25</f>
        <v>35</v>
      </c>
      <c r="N5" s="249">
        <f t="shared" ref="N5:N12" si="0">SUM(C5:M5)</f>
        <v>53515</v>
      </c>
    </row>
    <row r="6" spans="1:15" x14ac:dyDescent="0.25">
      <c r="A6" s="32">
        <v>2</v>
      </c>
      <c r="B6" s="33" t="s">
        <v>39</v>
      </c>
      <c r="C6" s="62">
        <f>[1]STA_SP2_NO!$C$26</f>
        <v>399</v>
      </c>
      <c r="D6" s="118">
        <f>[2]STA_SP2_NO!$C$26</f>
        <v>297</v>
      </c>
      <c r="E6" s="61">
        <f>[3]STA_SP2_NO!$C$26</f>
        <v>116</v>
      </c>
      <c r="F6" s="118">
        <f>[4]STA_SP2_NO!$C$26</f>
        <v>329</v>
      </c>
      <c r="G6" s="143">
        <f>[5]STA_SP2_NO!$C$26</f>
        <v>161</v>
      </c>
      <c r="H6" s="118">
        <f>[6]STA_SP2_NO!$C$26</f>
        <v>206</v>
      </c>
      <c r="I6" s="143">
        <f>[7]STA_SP2_NO!$C$26</f>
        <v>357</v>
      </c>
      <c r="J6" s="54">
        <f>[8]STA_SP2_NO!$C$26</f>
        <v>282</v>
      </c>
      <c r="K6" s="143">
        <f>[9]STA_SP2_NO!$C$26</f>
        <v>187</v>
      </c>
      <c r="L6" s="387">
        <f>[10]STA_SP2_NO!$C$26</f>
        <v>236</v>
      </c>
      <c r="M6" s="332">
        <f>[11]STA_SP2_NO!$C$26</f>
        <v>2</v>
      </c>
      <c r="N6" s="249">
        <f t="shared" si="0"/>
        <v>2572</v>
      </c>
    </row>
    <row r="7" spans="1:15" x14ac:dyDescent="0.25">
      <c r="A7" s="32">
        <v>3</v>
      </c>
      <c r="B7" s="33" t="s">
        <v>40</v>
      </c>
      <c r="C7" s="62">
        <f>[1]STA_SP2_NO!$C$27</f>
        <v>48</v>
      </c>
      <c r="D7" s="118">
        <f>[2]STA_SP2_NO!$C$27</f>
        <v>26</v>
      </c>
      <c r="E7" s="61">
        <f>[3]STA_SP2_NO!$C$27</f>
        <v>14</v>
      </c>
      <c r="F7" s="118">
        <f>[4]STA_SP2_NO!$C$27</f>
        <v>58</v>
      </c>
      <c r="G7" s="143">
        <f>[5]STA_SP2_NO!$C$27</f>
        <v>90</v>
      </c>
      <c r="H7" s="118">
        <f>[6]STA_SP2_NO!$C$27</f>
        <v>17</v>
      </c>
      <c r="I7" s="143">
        <f>[7]STA_SP2_NO!$C$27</f>
        <v>34</v>
      </c>
      <c r="J7" s="54">
        <f>[8]STA_SP2_NO!$C$27</f>
        <v>37</v>
      </c>
      <c r="K7" s="143">
        <f>[9]STA_SP2_NO!$C$27</f>
        <v>27</v>
      </c>
      <c r="L7" s="387">
        <f>[10]STA_SP2_NO!$C$27</f>
        <v>12</v>
      </c>
      <c r="M7" s="332">
        <f>[11]STA_SP2_NO!$C$27</f>
        <v>0</v>
      </c>
      <c r="N7" s="249">
        <f t="shared" si="0"/>
        <v>363</v>
      </c>
    </row>
    <row r="8" spans="1:15" x14ac:dyDescent="0.25">
      <c r="A8" s="32">
        <v>4</v>
      </c>
      <c r="B8" s="33" t="s">
        <v>41</v>
      </c>
      <c r="C8" s="62">
        <f>[1]STA_SP2_NO!$C$28</f>
        <v>1</v>
      </c>
      <c r="D8" s="118">
        <f>[2]STA_SP2_NO!$C$28</f>
        <v>0</v>
      </c>
      <c r="E8" s="61">
        <f>[3]STA_SP2_NO!$C$28</f>
        <v>0</v>
      </c>
      <c r="F8" s="118">
        <f>[4]STA_SP2_NO!$C$28</f>
        <v>0</v>
      </c>
      <c r="G8" s="143">
        <f>[5]STA_SP2_NO!$C$28</f>
        <v>0</v>
      </c>
      <c r="H8" s="118">
        <f>[6]STA_SP2_NO!$C$28</f>
        <v>0</v>
      </c>
      <c r="I8" s="143">
        <f>[7]STA_SP2_NO!$C$28</f>
        <v>2</v>
      </c>
      <c r="J8" s="54">
        <f>[8]STA_SP2_NO!$C$28</f>
        <v>0</v>
      </c>
      <c r="K8" s="143">
        <f>[9]STA_SP2_NO!$C$28</f>
        <v>4</v>
      </c>
      <c r="L8" s="387">
        <f>[10]STA_SP2_NO!$C$28</f>
        <v>1</v>
      </c>
      <c r="M8" s="332">
        <f>[11]STA_SP2_NO!$C$28</f>
        <v>0</v>
      </c>
      <c r="N8" s="249">
        <f t="shared" si="0"/>
        <v>8</v>
      </c>
    </row>
    <row r="9" spans="1:15" x14ac:dyDescent="0.25">
      <c r="A9" s="32">
        <v>5</v>
      </c>
      <c r="B9" s="33" t="s">
        <v>42</v>
      </c>
      <c r="C9" s="62">
        <f>[1]STA_SP2_NO!$C$29</f>
        <v>5</v>
      </c>
      <c r="D9" s="118">
        <f>[2]STA_SP2_NO!$C$29</f>
        <v>3</v>
      </c>
      <c r="E9" s="61">
        <f>[3]STA_SP2_NO!$C$29</f>
        <v>0</v>
      </c>
      <c r="F9" s="118">
        <f>[4]STA_SP2_NO!$C$29</f>
        <v>1</v>
      </c>
      <c r="G9" s="143">
        <f>[5]STA_SP2_NO!$C$29</f>
        <v>3</v>
      </c>
      <c r="H9" s="118">
        <f>[6]STA_SP2_NO!$C$29</f>
        <v>1</v>
      </c>
      <c r="I9" s="143">
        <f>[7]STA_SP2_NO!$C$29</f>
        <v>9</v>
      </c>
      <c r="J9" s="54">
        <f>[8]STA_SP2_NO!$C$29</f>
        <v>5</v>
      </c>
      <c r="K9" s="143">
        <f>[9]STA_SP2_NO!$C$29</f>
        <v>6</v>
      </c>
      <c r="L9" s="387">
        <f>[10]STA_SP2_NO!$C$29</f>
        <v>3</v>
      </c>
      <c r="M9" s="332">
        <f>[11]STA_SP2_NO!$C$29</f>
        <v>0</v>
      </c>
      <c r="N9" s="249">
        <f t="shared" si="0"/>
        <v>36</v>
      </c>
    </row>
    <row r="10" spans="1:15" x14ac:dyDescent="0.25">
      <c r="A10" s="32">
        <v>6</v>
      </c>
      <c r="B10" s="33" t="s">
        <v>43</v>
      </c>
      <c r="C10" s="62">
        <f>[1]STA_SP2_NO!$C$30</f>
        <v>99</v>
      </c>
      <c r="D10" s="118">
        <f>[2]STA_SP2_NO!$C$30</f>
        <v>57</v>
      </c>
      <c r="E10" s="61">
        <f>[3]STA_SP2_NO!$C$30</f>
        <v>32</v>
      </c>
      <c r="F10" s="118">
        <f>[4]STA_SP2_NO!$C$30</f>
        <v>133</v>
      </c>
      <c r="G10" s="143">
        <f>[5]STA_SP2_NO!$C$30</f>
        <v>46</v>
      </c>
      <c r="H10" s="118">
        <f>[6]STA_SP2_NO!$C$30</f>
        <v>94</v>
      </c>
      <c r="I10" s="143">
        <f>[7]STA_SP2_NO!$C$30</f>
        <v>92</v>
      </c>
      <c r="J10" s="54">
        <f>[8]STA_SP2_NO!$C$30</f>
        <v>69</v>
      </c>
      <c r="K10" s="143">
        <f>[9]STA_SP2_NO!$C$30</f>
        <v>38</v>
      </c>
      <c r="L10" s="387">
        <f>[10]STA_SP2_NO!$C$30</f>
        <v>112</v>
      </c>
      <c r="M10" s="332">
        <f>[11]STA_SP2_NO!$C$30</f>
        <v>0</v>
      </c>
      <c r="N10" s="249">
        <f t="shared" si="0"/>
        <v>772</v>
      </c>
    </row>
    <row r="11" spans="1:15" x14ac:dyDescent="0.25">
      <c r="A11" s="32">
        <v>7</v>
      </c>
      <c r="B11" s="33" t="s">
        <v>44</v>
      </c>
      <c r="C11" s="62">
        <f>[1]STA_SP2_NO!$C$31</f>
        <v>380</v>
      </c>
      <c r="D11" s="118">
        <f>[2]STA_SP2_NO!$C$31</f>
        <v>290</v>
      </c>
      <c r="E11" s="61">
        <f>[3]STA_SP2_NO!$C$31</f>
        <v>100</v>
      </c>
      <c r="F11" s="118">
        <f>[4]STA_SP2_NO!$C$31</f>
        <v>275</v>
      </c>
      <c r="G11" s="143">
        <f>[5]STA_SP2_NO!$C$31</f>
        <v>146</v>
      </c>
      <c r="H11" s="118">
        <f>[6]STA_SP2_NO!$C$31</f>
        <v>174</v>
      </c>
      <c r="I11" s="143">
        <f>[7]STA_SP2_NO!$C$31</f>
        <v>312</v>
      </c>
      <c r="J11" s="54">
        <f>[8]STA_SP2_NO!$C$31</f>
        <v>252</v>
      </c>
      <c r="K11" s="143">
        <f>[9]STA_SP2_NO!$C$31</f>
        <v>171</v>
      </c>
      <c r="L11" s="387">
        <f>[10]STA_SP2_NO!$C$31</f>
        <v>202</v>
      </c>
      <c r="M11" s="332">
        <f>[11]STA_SP2_NO!$C$31</f>
        <v>0</v>
      </c>
      <c r="N11" s="249">
        <f t="shared" si="0"/>
        <v>2302</v>
      </c>
    </row>
    <row r="12" spans="1:15" ht="15.75" thickBot="1" x14ac:dyDescent="0.3">
      <c r="A12" s="34">
        <v>8</v>
      </c>
      <c r="B12" s="35" t="s">
        <v>45</v>
      </c>
      <c r="C12" s="62">
        <f>[1]STA_SP2_NO!$C$32</f>
        <v>3</v>
      </c>
      <c r="D12" s="118">
        <f>[2]STA_SP2_NO!$C$32</f>
        <v>1</v>
      </c>
      <c r="E12" s="61">
        <f>[3]STA_SP2_NO!$C$32</f>
        <v>0</v>
      </c>
      <c r="F12" s="118">
        <f>[4]STA_SP2_NO!$C$32</f>
        <v>1</v>
      </c>
      <c r="G12" s="143">
        <f>[5]STA_SP2_NO!$C$32</f>
        <v>0</v>
      </c>
      <c r="H12" s="118">
        <f>[6]STA_SP2_NO!$C$32</f>
        <v>2</v>
      </c>
      <c r="I12" s="143">
        <f>[7]STA_SP2_NO!$C$32</f>
        <v>3</v>
      </c>
      <c r="J12" s="54">
        <f>[8]STA_SP2_NO!$C$32</f>
        <v>2</v>
      </c>
      <c r="K12" s="143">
        <f>[9]STA_SP2_NO!$C$32</f>
        <v>0</v>
      </c>
      <c r="L12" s="387">
        <f>[10]STA_SP2_NO!$C$32</f>
        <v>1</v>
      </c>
      <c r="M12" s="332">
        <f>[11]STA_SP2_NO!$C$32</f>
        <v>0</v>
      </c>
      <c r="N12" s="249">
        <f t="shared" si="0"/>
        <v>13</v>
      </c>
    </row>
    <row r="13" spans="1:15" ht="15.75" thickBot="1" x14ac:dyDescent="0.3">
      <c r="A13" s="57"/>
      <c r="B13" s="37" t="s">
        <v>3</v>
      </c>
      <c r="C13" s="41">
        <f t="shared" ref="C13:F13" si="1">SUM(C5:C12)</f>
        <v>7561</v>
      </c>
      <c r="D13" s="39">
        <f t="shared" si="1"/>
        <v>4721</v>
      </c>
      <c r="E13" s="41">
        <f t="shared" si="1"/>
        <v>2630</v>
      </c>
      <c r="F13" s="39">
        <f t="shared" si="1"/>
        <v>5869</v>
      </c>
      <c r="G13" s="40">
        <f t="shared" ref="G13:N13" si="2">SUM(G5:G12)</f>
        <v>5267</v>
      </c>
      <c r="H13" s="39">
        <f t="shared" si="2"/>
        <v>6648</v>
      </c>
      <c r="I13" s="40">
        <f t="shared" si="2"/>
        <v>11177</v>
      </c>
      <c r="J13" s="39">
        <f t="shared" si="2"/>
        <v>5582</v>
      </c>
      <c r="K13" s="40">
        <f t="shared" si="2"/>
        <v>3421</v>
      </c>
      <c r="L13" s="380">
        <f t="shared" si="2"/>
        <v>6668</v>
      </c>
      <c r="M13" s="333">
        <f t="shared" si="2"/>
        <v>37</v>
      </c>
      <c r="N13" s="250">
        <f t="shared" si="2"/>
        <v>59581</v>
      </c>
    </row>
    <row r="14" spans="1:15" ht="15.75" thickBot="1" x14ac:dyDescent="0.3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8"/>
      <c r="N14" s="1"/>
    </row>
    <row r="15" spans="1:15" ht="15.75" thickBot="1" x14ac:dyDescent="0.3">
      <c r="A15" s="457" t="s">
        <v>52</v>
      </c>
      <c r="B15" s="529"/>
      <c r="C15" s="48">
        <f>C13/N13</f>
        <v>0.1269028717208506</v>
      </c>
      <c r="D15" s="56">
        <f>D13/N13</f>
        <v>7.9236669408032756E-2</v>
      </c>
      <c r="E15" s="48">
        <f>E13/N13</f>
        <v>4.4141588761517934E-2</v>
      </c>
      <c r="F15" s="47">
        <f>F13/N13</f>
        <v>9.8504556821805603E-2</v>
      </c>
      <c r="G15" s="70">
        <f>G13/N13</f>
        <v>8.8400664641412524E-2</v>
      </c>
      <c r="H15" s="47">
        <f>H13/N13</f>
        <v>0.1115791947097229</v>
      </c>
      <c r="I15" s="70">
        <f>I13/N13</f>
        <v>0.18759336029942431</v>
      </c>
      <c r="J15" s="47">
        <f>J13/N13</f>
        <v>9.3687584968362395E-2</v>
      </c>
      <c r="K15" s="70">
        <f>K13/N13</f>
        <v>5.7417633138080931E-2</v>
      </c>
      <c r="L15" s="47">
        <f>L13/N13</f>
        <v>0.11191487219079908</v>
      </c>
      <c r="M15" s="342">
        <f>M13/N13</f>
        <v>6.2100333999093673E-4</v>
      </c>
      <c r="N15" s="258">
        <f>SUM(C15:M15)</f>
        <v>0.99999999999999989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26"/>
      <c r="B18" s="26"/>
      <c r="C18" s="469" t="s">
        <v>107</v>
      </c>
      <c r="D18" s="470"/>
      <c r="E18" s="470"/>
      <c r="F18" s="470"/>
      <c r="G18" s="470"/>
      <c r="H18" s="470"/>
      <c r="I18" s="470"/>
      <c r="J18" s="471"/>
      <c r="K18" s="471"/>
      <c r="L18" s="26"/>
      <c r="M18" s="26"/>
      <c r="N18" s="155" t="s">
        <v>35</v>
      </c>
    </row>
    <row r="19" spans="1:15" ht="15.75" thickBot="1" x14ac:dyDescent="0.3">
      <c r="A19" s="472" t="s">
        <v>0</v>
      </c>
      <c r="B19" s="474" t="s">
        <v>1</v>
      </c>
      <c r="C19" s="494" t="s">
        <v>2</v>
      </c>
      <c r="D19" s="495"/>
      <c r="E19" s="495"/>
      <c r="F19" s="495"/>
      <c r="G19" s="495"/>
      <c r="H19" s="495"/>
      <c r="I19" s="495"/>
      <c r="J19" s="495"/>
      <c r="K19" s="495"/>
      <c r="L19" s="495"/>
      <c r="M19" s="496"/>
      <c r="N19" s="499" t="s">
        <v>3</v>
      </c>
    </row>
    <row r="20" spans="1:15" x14ac:dyDescent="0.25">
      <c r="A20" s="512"/>
      <c r="B20" s="513"/>
      <c r="C20" s="533" t="s">
        <v>68</v>
      </c>
      <c r="D20" s="474" t="s">
        <v>4</v>
      </c>
      <c r="E20" s="506" t="s">
        <v>5</v>
      </c>
      <c r="F20" s="474" t="s">
        <v>6</v>
      </c>
      <c r="G20" s="508" t="s">
        <v>8</v>
      </c>
      <c r="H20" s="474" t="s">
        <v>93</v>
      </c>
      <c r="I20" s="506" t="s">
        <v>96</v>
      </c>
      <c r="J20" s="516" t="s">
        <v>9</v>
      </c>
      <c r="K20" s="506" t="s">
        <v>92</v>
      </c>
      <c r="L20" s="474" t="s">
        <v>10</v>
      </c>
      <c r="M20" s="510" t="s">
        <v>95</v>
      </c>
      <c r="N20" s="500"/>
    </row>
    <row r="21" spans="1:15" ht="15.75" thickBot="1" x14ac:dyDescent="0.3">
      <c r="A21" s="507"/>
      <c r="B21" s="514"/>
      <c r="C21" s="521"/>
      <c r="D21" s="507"/>
      <c r="E21" s="507"/>
      <c r="F21" s="507"/>
      <c r="G21" s="509"/>
      <c r="H21" s="475"/>
      <c r="I21" s="515"/>
      <c r="J21" s="517"/>
      <c r="K21" s="515"/>
      <c r="L21" s="475"/>
      <c r="M21" s="511"/>
      <c r="N21" s="501"/>
    </row>
    <row r="22" spans="1:15" x14ac:dyDescent="0.25">
      <c r="A22" s="30">
        <v>1</v>
      </c>
      <c r="B22" s="31" t="s">
        <v>38</v>
      </c>
      <c r="C22" s="62">
        <f>[1]STA_SP2_NO!$D$25</f>
        <v>33839.440000000002</v>
      </c>
      <c r="D22" s="118">
        <f>[2]STA_SP2_NO!$D$25</f>
        <v>19091.7</v>
      </c>
      <c r="E22" s="61">
        <f>[3]STA_SP2_NO!$D$25</f>
        <v>11905</v>
      </c>
      <c r="F22" s="388">
        <f>[4]STA_SP2_NO!$D$25</f>
        <v>23749.8</v>
      </c>
      <c r="G22" s="143">
        <f>[5]STA_SP2_NO!$D$25</f>
        <v>23013.55</v>
      </c>
      <c r="H22" s="118">
        <f>[6]STA_SP2_NO!$D$25</f>
        <v>28633.439999999999</v>
      </c>
      <c r="I22" s="143">
        <f>[7]STA_SP2_NO!$D$25</f>
        <v>46120</v>
      </c>
      <c r="J22" s="54">
        <f>[8]STA_SP2_NO!$D$25</f>
        <v>23170</v>
      </c>
      <c r="K22" s="143">
        <f>[9]STA_SP2_NO!$D$25</f>
        <v>15329.02</v>
      </c>
      <c r="L22" s="387">
        <f>[10]STA_SP2_NO!$D$25</f>
        <v>28735</v>
      </c>
      <c r="M22" s="332">
        <f>[11]STA_SP2_NO!$D$25</f>
        <v>68.290000000000006</v>
      </c>
      <c r="N22" s="249">
        <f t="shared" ref="N22:N29" si="3">SUM(C22:M22)</f>
        <v>253655.24</v>
      </c>
    </row>
    <row r="23" spans="1:15" x14ac:dyDescent="0.25">
      <c r="A23" s="32">
        <v>2</v>
      </c>
      <c r="B23" s="33" t="s">
        <v>39</v>
      </c>
      <c r="C23" s="62">
        <f>[1]STA_SP2_NO!$D$26</f>
        <v>6832.65</v>
      </c>
      <c r="D23" s="118">
        <f>[2]STA_SP2_NO!$D$26</f>
        <v>4505.4399999999996</v>
      </c>
      <c r="E23" s="61">
        <f>[3]STA_SP2_NO!$D$26</f>
        <v>1986</v>
      </c>
      <c r="F23" s="388">
        <f>[4]STA_SP2_NO!$D$26</f>
        <v>4943.71</v>
      </c>
      <c r="G23" s="143">
        <f>[5]STA_SP2_NO!$D$26</f>
        <v>2411.08</v>
      </c>
      <c r="H23" s="118">
        <f>[6]STA_SP2_NO!$D$26</f>
        <v>3209.29</v>
      </c>
      <c r="I23" s="143">
        <f>[7]STA_SP2_NO!$D$26</f>
        <v>6148</v>
      </c>
      <c r="J23" s="54">
        <f>[8]STA_SP2_NO!$D$26</f>
        <v>4422</v>
      </c>
      <c r="K23" s="143">
        <f>[9]STA_SP2_NO!$D$26</f>
        <v>3203.29</v>
      </c>
      <c r="L23" s="387">
        <f>[10]STA_SP2_NO!$D$26</f>
        <v>3751</v>
      </c>
      <c r="M23" s="332">
        <f>[11]STA_SP2_NO!$D$26</f>
        <v>17.22</v>
      </c>
      <c r="N23" s="249">
        <f t="shared" si="3"/>
        <v>41429.68</v>
      </c>
    </row>
    <row r="24" spans="1:15" x14ac:dyDescent="0.25">
      <c r="A24" s="32">
        <v>3</v>
      </c>
      <c r="B24" s="33" t="s">
        <v>40</v>
      </c>
      <c r="C24" s="62">
        <f>[1]STA_SP2_NO!$D$27</f>
        <v>815.87</v>
      </c>
      <c r="D24" s="118">
        <f>[2]STA_SP2_NO!$D$27</f>
        <v>397</v>
      </c>
      <c r="E24" s="61">
        <f>[3]STA_SP2_NO!$D$27</f>
        <v>241</v>
      </c>
      <c r="F24" s="388">
        <f>[4]STA_SP2_NO!$D$27</f>
        <v>948.11</v>
      </c>
      <c r="G24" s="143">
        <f>[5]STA_SP2_NO!$D$27</f>
        <v>835.19</v>
      </c>
      <c r="H24" s="118">
        <f>[6]STA_SP2_NO!$D$27</f>
        <v>292.77</v>
      </c>
      <c r="I24" s="143">
        <f>[7]STA_SP2_NO!$D$27</f>
        <v>586</v>
      </c>
      <c r="J24" s="54">
        <f>[8]STA_SP2_NO!$D$27</f>
        <v>603</v>
      </c>
      <c r="K24" s="143">
        <f>[9]STA_SP2_NO!$D$27</f>
        <v>464.99</v>
      </c>
      <c r="L24" s="387">
        <f>[10]STA_SP2_NO!$D$27</f>
        <v>173</v>
      </c>
      <c r="M24" s="332">
        <f>[11]STA_SP2_NO!$D$27</f>
        <v>0</v>
      </c>
      <c r="N24" s="249">
        <f t="shared" si="3"/>
        <v>5356.93</v>
      </c>
    </row>
    <row r="25" spans="1:15" x14ac:dyDescent="0.25">
      <c r="A25" s="32">
        <v>4</v>
      </c>
      <c r="B25" s="33" t="s">
        <v>41</v>
      </c>
      <c r="C25" s="62">
        <f>[1]STA_SP2_NO!$D$28</f>
        <v>5.54</v>
      </c>
      <c r="D25" s="118">
        <f>[2]STA_SP2_NO!$D$28</f>
        <v>0</v>
      </c>
      <c r="E25" s="61">
        <f>[3]STA_SP2_NO!$D$28</f>
        <v>0</v>
      </c>
      <c r="F25" s="388">
        <f>[4]STA_SP2_NO!$D$28</f>
        <v>0</v>
      </c>
      <c r="G25" s="143">
        <f>[5]STA_SP2_NO!$D$28</f>
        <v>0</v>
      </c>
      <c r="H25" s="118">
        <f>[6]STA_SP2_NO!$D$28</f>
        <v>0</v>
      </c>
      <c r="I25" s="143">
        <f>[7]STA_SP2_NO!$D$28</f>
        <v>11</v>
      </c>
      <c r="J25" s="54">
        <f>[8]STA_SP2_NO!$D$28</f>
        <v>0</v>
      </c>
      <c r="K25" s="143">
        <f>[9]STA_SP2_NO!$D$28</f>
        <v>22.14</v>
      </c>
      <c r="L25" s="387">
        <f>[10]STA_SP2_NO!$D$28</f>
        <v>6</v>
      </c>
      <c r="M25" s="332">
        <f>[11]STA_SP2_NO!$D$28</f>
        <v>0</v>
      </c>
      <c r="N25" s="249">
        <f t="shared" si="3"/>
        <v>44.68</v>
      </c>
    </row>
    <row r="26" spans="1:15" x14ac:dyDescent="0.25">
      <c r="A26" s="32">
        <v>5</v>
      </c>
      <c r="B26" s="33" t="s">
        <v>42</v>
      </c>
      <c r="C26" s="62">
        <f>[1]STA_SP2_NO!$D$29</f>
        <v>27.68</v>
      </c>
      <c r="D26" s="118">
        <f>[2]STA_SP2_NO!$D$29</f>
        <v>11.37</v>
      </c>
      <c r="E26" s="61">
        <f>[3]STA_SP2_NO!$D$29</f>
        <v>0</v>
      </c>
      <c r="F26" s="388">
        <f>[4]STA_SP2_NO!$D$29</f>
        <v>5.54</v>
      </c>
      <c r="G26" s="143">
        <f>[5]STA_SP2_NO!$D$29</f>
        <v>16.61</v>
      </c>
      <c r="H26" s="118">
        <f>[6]STA_SP2_NO!$D$29</f>
        <v>5.54</v>
      </c>
      <c r="I26" s="143">
        <f>[7]STA_SP2_NO!$D$29</f>
        <v>50</v>
      </c>
      <c r="J26" s="54">
        <f>[8]STA_SP2_NO!$D$29</f>
        <v>28</v>
      </c>
      <c r="K26" s="143">
        <f>[9]STA_SP2_NO!$D$29</f>
        <v>33.22</v>
      </c>
      <c r="L26" s="387">
        <f>[10]STA_SP2_NO!$D$29</f>
        <v>17</v>
      </c>
      <c r="M26" s="332">
        <f>[11]STA_SP2_NO!$D$29</f>
        <v>0</v>
      </c>
      <c r="N26" s="249">
        <f t="shared" si="3"/>
        <v>194.96</v>
      </c>
    </row>
    <row r="27" spans="1:15" x14ac:dyDescent="0.25">
      <c r="A27" s="32">
        <v>6</v>
      </c>
      <c r="B27" s="33" t="s">
        <v>43</v>
      </c>
      <c r="C27" s="62">
        <f>[1]STA_SP2_NO!$D$30</f>
        <v>184.95</v>
      </c>
      <c r="D27" s="118">
        <f>[2]STA_SP2_NO!$D$30</f>
        <v>97.7</v>
      </c>
      <c r="E27" s="61">
        <f>[3]STA_SP2_NO!$D$30</f>
        <v>59</v>
      </c>
      <c r="F27" s="388">
        <f>[4]STA_SP2_NO!$D$30</f>
        <v>228.7</v>
      </c>
      <c r="G27" s="143">
        <f>[5]STA_SP2_NO!$D$30</f>
        <v>75.849999999999994</v>
      </c>
      <c r="H27" s="118">
        <f>[6]STA_SP2_NO!$D$30</f>
        <v>163.05000000000001</v>
      </c>
      <c r="I27" s="143">
        <f>[7]STA_SP2_NO!$D$30</f>
        <v>169</v>
      </c>
      <c r="J27" s="54">
        <f>[8]STA_SP2_NO!$D$30</f>
        <v>120</v>
      </c>
      <c r="K27" s="143">
        <f>[9]STA_SP2_NO!$D$30</f>
        <v>70.3</v>
      </c>
      <c r="L27" s="387">
        <f>[10]STA_SP2_NO!$D$30</f>
        <v>190</v>
      </c>
      <c r="M27" s="332">
        <f>[11]STA_SP2_NO!$D$30</f>
        <v>0</v>
      </c>
      <c r="N27" s="249">
        <f t="shared" si="3"/>
        <v>1358.55</v>
      </c>
    </row>
    <row r="28" spans="1:15" x14ac:dyDescent="0.25">
      <c r="A28" s="32">
        <v>7</v>
      </c>
      <c r="B28" s="33" t="s">
        <v>44</v>
      </c>
      <c r="C28" s="62">
        <f>[1]STA_SP2_NO!$D$31</f>
        <v>2093.67</v>
      </c>
      <c r="D28" s="118">
        <f>[2]STA_SP2_NO!$D$31</f>
        <v>1485.01</v>
      </c>
      <c r="E28" s="61">
        <f>[3]STA_SP2_NO!$D$31</f>
        <v>554</v>
      </c>
      <c r="F28" s="388">
        <f>[4]STA_SP2_NO!$D$31</f>
        <v>1364.72</v>
      </c>
      <c r="G28" s="143">
        <f>[5]STA_SP2_NO!$D$31</f>
        <v>747.36</v>
      </c>
      <c r="H28" s="118">
        <f>[6]STA_SP2_NO!$D$31</f>
        <v>858.54</v>
      </c>
      <c r="I28" s="143">
        <f>[7]STA_SP2_NO!$D$31</f>
        <v>1722</v>
      </c>
      <c r="J28" s="54">
        <f>[8]STA_SP2_NO!$D$31</f>
        <v>1368</v>
      </c>
      <c r="K28" s="143">
        <f>[9]STA_SP2_NO!$D$31</f>
        <v>946.66</v>
      </c>
      <c r="L28" s="387">
        <f>[10]STA_SP2_NO!$D$31</f>
        <v>1061</v>
      </c>
      <c r="M28" s="332">
        <f>[11]STA_SP2_NO!$D$31</f>
        <v>0</v>
      </c>
      <c r="N28" s="249">
        <f t="shared" si="3"/>
        <v>12200.96</v>
      </c>
    </row>
    <row r="29" spans="1:15" ht="15.75" thickBot="1" x14ac:dyDescent="0.3">
      <c r="A29" s="34">
        <v>8</v>
      </c>
      <c r="B29" s="35" t="s">
        <v>45</v>
      </c>
      <c r="C29" s="62">
        <f>[1]STA_SP2_NO!$D$32</f>
        <v>16.61</v>
      </c>
      <c r="D29" s="118">
        <f>[2]STA_SP2_NO!$D$32</f>
        <v>5.53</v>
      </c>
      <c r="E29" s="61">
        <f>[3]STA_SP2_NO!$D$32</f>
        <v>0</v>
      </c>
      <c r="F29" s="388">
        <f>[4]STA_SP2_NO!$D$32</f>
        <v>0.3</v>
      </c>
      <c r="G29" s="143">
        <f>[5]STA_SP2_NO!$D$32</f>
        <v>0</v>
      </c>
      <c r="H29" s="118">
        <f>[6]STA_SP2_NO!$D$32</f>
        <v>5.84</v>
      </c>
      <c r="I29" s="143">
        <f>[7]STA_SP2_NO!$D$32</f>
        <v>17</v>
      </c>
      <c r="J29" s="54">
        <f>[8]STA_SP2_NO!$D$32</f>
        <v>11</v>
      </c>
      <c r="K29" s="143">
        <f>[9]STA_SP2_NO!$D$32</f>
        <v>0</v>
      </c>
      <c r="L29" s="387">
        <f>[10]STA_SP2_NO!$D$32</f>
        <v>17</v>
      </c>
      <c r="M29" s="332">
        <f>[11]STA_SP2_NO!$D$32</f>
        <v>0</v>
      </c>
      <c r="N29" s="249">
        <f t="shared" si="3"/>
        <v>73.28</v>
      </c>
    </row>
    <row r="30" spans="1:15" ht="15.75" thickBot="1" x14ac:dyDescent="0.3">
      <c r="A30" s="57"/>
      <c r="B30" s="37" t="s">
        <v>3</v>
      </c>
      <c r="C30" s="41">
        <f t="shared" ref="C30:E30" si="4">SUM(C22:C29)</f>
        <v>43816.41</v>
      </c>
      <c r="D30" s="39">
        <f t="shared" si="4"/>
        <v>25593.749999999996</v>
      </c>
      <c r="E30" s="41">
        <f t="shared" si="4"/>
        <v>14745</v>
      </c>
      <c r="F30" s="51">
        <f t="shared" ref="F30:N30" si="5">SUM(F22:F29)</f>
        <v>31240.880000000001</v>
      </c>
      <c r="G30" s="40">
        <f t="shared" si="5"/>
        <v>27099.639999999996</v>
      </c>
      <c r="H30" s="39">
        <f t="shared" si="5"/>
        <v>33168.469999999994</v>
      </c>
      <c r="I30" s="40">
        <f t="shared" si="5"/>
        <v>54823</v>
      </c>
      <c r="J30" s="39">
        <f t="shared" si="5"/>
        <v>29722</v>
      </c>
      <c r="K30" s="40">
        <f t="shared" si="5"/>
        <v>20069.620000000003</v>
      </c>
      <c r="L30" s="380">
        <f t="shared" si="5"/>
        <v>33950</v>
      </c>
      <c r="M30" s="333">
        <f t="shared" si="5"/>
        <v>85.51</v>
      </c>
      <c r="N30" s="250">
        <f t="shared" si="5"/>
        <v>314314.28000000003</v>
      </c>
    </row>
    <row r="31" spans="1:15" ht="15.75" thickBot="1" x14ac:dyDescent="0.3">
      <c r="A31" s="1"/>
      <c r="B31" s="1"/>
      <c r="C31" s="1"/>
      <c r="D31" s="1"/>
      <c r="E31" s="1"/>
      <c r="F31" s="1"/>
      <c r="G31" s="341"/>
      <c r="H31" s="1"/>
      <c r="I31" s="341"/>
      <c r="J31" s="1"/>
      <c r="K31" s="341"/>
      <c r="L31" s="1"/>
      <c r="M31" s="348"/>
      <c r="N31" s="1"/>
    </row>
    <row r="32" spans="1:15" ht="15.75" thickBot="1" x14ac:dyDescent="0.3">
      <c r="A32" s="457" t="s">
        <v>52</v>
      </c>
      <c r="B32" s="529"/>
      <c r="C32" s="48">
        <f>C30/N30</f>
        <v>0.13940317951828343</v>
      </c>
      <c r="D32" s="56">
        <f>D30/N30</f>
        <v>8.1427258093396182E-2</v>
      </c>
      <c r="E32" s="48">
        <f>E30/N30</f>
        <v>4.6911645248825469E-2</v>
      </c>
      <c r="F32" s="47">
        <f>F30/N30</f>
        <v>9.9393766010249351E-2</v>
      </c>
      <c r="G32" s="70">
        <f>G30/N30</f>
        <v>8.6218290813894913E-2</v>
      </c>
      <c r="H32" s="47">
        <f>H30/N30</f>
        <v>0.1055264495141614</v>
      </c>
      <c r="I32" s="70">
        <f>I30/N30</f>
        <v>0.17442096490175374</v>
      </c>
      <c r="J32" s="47">
        <f>J30/N30</f>
        <v>9.4561405227913911E-2</v>
      </c>
      <c r="K32" s="70">
        <f>K30/N30</f>
        <v>6.3852078244742816E-2</v>
      </c>
      <c r="L32" s="389">
        <f>L30/N30</f>
        <v>0.10801290988115461</v>
      </c>
      <c r="M32" s="342">
        <f>M30/N30</f>
        <v>2.7205254562408043E-4</v>
      </c>
      <c r="N32" s="258">
        <f>SUM(C32:M32)</f>
        <v>1</v>
      </c>
    </row>
  </sheetData>
  <mergeCells count="34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  <mergeCell ref="A15:B15"/>
    <mergeCell ref="C1:K1"/>
    <mergeCell ref="A2:A4"/>
    <mergeCell ref="B2:B4"/>
    <mergeCell ref="H3:H4"/>
    <mergeCell ref="I3:I4"/>
    <mergeCell ref="J3:J4"/>
    <mergeCell ref="K3:K4"/>
    <mergeCell ref="C2:M2"/>
    <mergeCell ref="N2:N4"/>
    <mergeCell ref="C3:C4"/>
    <mergeCell ref="D3:D4"/>
    <mergeCell ref="E3:E4"/>
    <mergeCell ref="F3:F4"/>
    <mergeCell ref="G3:G4"/>
    <mergeCell ref="L3:L4"/>
    <mergeCell ref="M3:M4"/>
    <mergeCell ref="N19:N21"/>
    <mergeCell ref="C20:C21"/>
    <mergeCell ref="D20:D21"/>
    <mergeCell ref="E20:E21"/>
    <mergeCell ref="K20:K21"/>
    <mergeCell ref="L20:L21"/>
    <mergeCell ref="M20:M2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H34" sqref="H34"/>
    </sheetView>
  </sheetViews>
  <sheetFormatPr defaultRowHeight="15" x14ac:dyDescent="0.25"/>
  <cols>
    <col min="1" max="1" width="3.85546875" customWidth="1"/>
    <col min="2" max="2" width="20" customWidth="1"/>
  </cols>
  <sheetData>
    <row r="1" spans="1:15" ht="28.5" customHeight="1" thickBot="1" x14ac:dyDescent="0.3">
      <c r="A1" s="26"/>
      <c r="B1" s="26"/>
      <c r="C1" s="469" t="s">
        <v>108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52"/>
    </row>
    <row r="2" spans="1:15" ht="15.75" thickBot="1" x14ac:dyDescent="0.3">
      <c r="A2" s="472" t="s">
        <v>0</v>
      </c>
      <c r="B2" s="474" t="s">
        <v>1</v>
      </c>
      <c r="C2" s="494" t="s">
        <v>2</v>
      </c>
      <c r="D2" s="495"/>
      <c r="E2" s="495"/>
      <c r="F2" s="495"/>
      <c r="G2" s="495"/>
      <c r="H2" s="495"/>
      <c r="I2" s="495"/>
      <c r="J2" s="495"/>
      <c r="K2" s="495"/>
      <c r="L2" s="495"/>
      <c r="M2" s="496"/>
      <c r="N2" s="499" t="s">
        <v>3</v>
      </c>
    </row>
    <row r="3" spans="1:15" x14ac:dyDescent="0.25">
      <c r="A3" s="512"/>
      <c r="B3" s="513"/>
      <c r="C3" s="519" t="s">
        <v>68</v>
      </c>
      <c r="D3" s="513" t="s">
        <v>4</v>
      </c>
      <c r="E3" s="523" t="s">
        <v>5</v>
      </c>
      <c r="F3" s="474" t="s">
        <v>6</v>
      </c>
      <c r="G3" s="508" t="s">
        <v>8</v>
      </c>
      <c r="H3" s="474" t="s">
        <v>93</v>
      </c>
      <c r="I3" s="506" t="s">
        <v>96</v>
      </c>
      <c r="J3" s="516" t="s">
        <v>9</v>
      </c>
      <c r="K3" s="506" t="s">
        <v>92</v>
      </c>
      <c r="L3" s="474" t="s">
        <v>10</v>
      </c>
      <c r="M3" s="525" t="s">
        <v>95</v>
      </c>
      <c r="N3" s="500"/>
    </row>
    <row r="4" spans="1:15" ht="15.75" thickBot="1" x14ac:dyDescent="0.3">
      <c r="A4" s="507"/>
      <c r="B4" s="514"/>
      <c r="C4" s="521"/>
      <c r="D4" s="507"/>
      <c r="E4" s="507"/>
      <c r="F4" s="507"/>
      <c r="G4" s="509"/>
      <c r="H4" s="475"/>
      <c r="I4" s="515"/>
      <c r="J4" s="517"/>
      <c r="K4" s="515"/>
      <c r="L4" s="475"/>
      <c r="M4" s="527"/>
      <c r="N4" s="501"/>
    </row>
    <row r="5" spans="1:15" x14ac:dyDescent="0.25">
      <c r="A5" s="30">
        <v>1</v>
      </c>
      <c r="B5" s="31" t="s">
        <v>38</v>
      </c>
      <c r="C5" s="62">
        <f>[1]STA_SP2_NO!$C$34</f>
        <v>55</v>
      </c>
      <c r="D5" s="118">
        <f>[2]STA_SP2_NO!$C$34</f>
        <v>21</v>
      </c>
      <c r="E5" s="62">
        <f>[3]STA_SP2_NO!$C$34</f>
        <v>3960</v>
      </c>
      <c r="F5" s="118">
        <f>[4]STA_SP2_NO!$C$34</f>
        <v>45</v>
      </c>
      <c r="G5" s="391">
        <f>[5]STA_SP2_NO!$C$34</f>
        <v>36</v>
      </c>
      <c r="H5" s="54">
        <f>[6]STA_SP2_NO!$C$34</f>
        <v>1541</v>
      </c>
      <c r="I5" s="61">
        <f>[7]STA_SP2_NO!$C$34</f>
        <v>146</v>
      </c>
      <c r="J5" s="54">
        <f>[8]STA_SP2_NO!$C$34</f>
        <v>23</v>
      </c>
      <c r="K5" s="61">
        <f>[9]STA_SP2_NO!$C$34</f>
        <v>388</v>
      </c>
      <c r="L5" s="390">
        <f>[10]STA_SP2_NO!$C$34</f>
        <v>13</v>
      </c>
      <c r="M5" s="332">
        <f>[11]STA_SP2_NO!$C$34</f>
        <v>0</v>
      </c>
      <c r="N5" s="249">
        <f t="shared" ref="N5:N13" si="0">SUM(C5:M5)</f>
        <v>6228</v>
      </c>
    </row>
    <row r="6" spans="1:15" x14ac:dyDescent="0.25">
      <c r="A6" s="32">
        <v>2</v>
      </c>
      <c r="B6" s="33" t="s">
        <v>39</v>
      </c>
      <c r="C6" s="62">
        <f>[1]STA_SP2_NO!$C$35</f>
        <v>1</v>
      </c>
      <c r="D6" s="118">
        <f>[2]STA_SP2_NO!$C$35</f>
        <v>0</v>
      </c>
      <c r="E6" s="62">
        <f>[3]STA_SP2_NO!$C$35</f>
        <v>57</v>
      </c>
      <c r="F6" s="118">
        <f>[4]STA_SP2_NO!$C$35</f>
        <v>1</v>
      </c>
      <c r="G6" s="391">
        <f>[5]STA_SP2_NO!$C$35</f>
        <v>0</v>
      </c>
      <c r="H6" s="54">
        <f>[6]STA_SP2_NO!$C$35</f>
        <v>0</v>
      </c>
      <c r="I6" s="61">
        <f>[7]STA_SP2_NO!$C$35</f>
        <v>0</v>
      </c>
      <c r="J6" s="54">
        <f>[8]STA_SP2_NO!$C$35</f>
        <v>0</v>
      </c>
      <c r="K6" s="61">
        <f>[9]STA_SP2_NO!$C$35</f>
        <v>12</v>
      </c>
      <c r="L6" s="390">
        <f>[10]STA_SP2_NO!$C$35</f>
        <v>0</v>
      </c>
      <c r="M6" s="332">
        <f>[11]STA_SP2_NO!$C$35</f>
        <v>0</v>
      </c>
      <c r="N6" s="249">
        <f t="shared" si="0"/>
        <v>71</v>
      </c>
    </row>
    <row r="7" spans="1:15" x14ac:dyDescent="0.25">
      <c r="A7" s="32">
        <v>3</v>
      </c>
      <c r="B7" s="33" t="s">
        <v>40</v>
      </c>
      <c r="C7" s="62">
        <f>[1]STA_SP2_NO!$C$36</f>
        <v>0</v>
      </c>
      <c r="D7" s="118">
        <f>[2]STA_SP2_NO!$C$36</f>
        <v>0</v>
      </c>
      <c r="E7" s="62">
        <f>[3]STA_SP2_NO!$C$36</f>
        <v>3</v>
      </c>
      <c r="F7" s="118">
        <f>[4]STA_SP2_NO!$C$36</f>
        <v>0</v>
      </c>
      <c r="G7" s="391">
        <f>[5]STA_SP2_NO!$C$36</f>
        <v>0</v>
      </c>
      <c r="H7" s="54">
        <f>[6]STA_SP2_NO!$C$36</f>
        <v>0</v>
      </c>
      <c r="I7" s="61">
        <f>[7]STA_SP2_NO!$C$36</f>
        <v>0</v>
      </c>
      <c r="J7" s="54">
        <f>[8]STA_SP2_NO!$C$36</f>
        <v>0</v>
      </c>
      <c r="K7" s="61">
        <f>[9]STA_SP2_NO!$C$36</f>
        <v>3</v>
      </c>
      <c r="L7" s="390">
        <f>[10]STA_SP2_NO!$C$36</f>
        <v>0</v>
      </c>
      <c r="M7" s="332">
        <f>[11]STA_SP2_NO!$C$36</f>
        <v>0</v>
      </c>
      <c r="N7" s="249">
        <f t="shared" si="0"/>
        <v>6</v>
      </c>
    </row>
    <row r="8" spans="1:15" x14ac:dyDescent="0.25">
      <c r="A8" s="32">
        <v>4</v>
      </c>
      <c r="B8" s="33" t="s">
        <v>41</v>
      </c>
      <c r="C8" s="62">
        <f>[1]STA_SP2_NO!$C$37</f>
        <v>0</v>
      </c>
      <c r="D8" s="118">
        <f>[2]STA_SP2_NO!$C$37</f>
        <v>0</v>
      </c>
      <c r="E8" s="62">
        <f>[3]STA_SP2_NO!$C$37</f>
        <v>0</v>
      </c>
      <c r="F8" s="118">
        <f>[4]STA_SP2_NO!$C$37</f>
        <v>0</v>
      </c>
      <c r="G8" s="391">
        <f>[5]STA_SP2_NO!$C$37</f>
        <v>0</v>
      </c>
      <c r="H8" s="54">
        <f>[6]STA_SP2_NO!$C$37</f>
        <v>0</v>
      </c>
      <c r="I8" s="61">
        <f>[7]STA_SP2_NO!$C$37</f>
        <v>0</v>
      </c>
      <c r="J8" s="54">
        <f>[8]STA_SP2_NO!$C$37</f>
        <v>0</v>
      </c>
      <c r="K8" s="61">
        <f>[9]STA_SP2_NO!$C$37</f>
        <v>0</v>
      </c>
      <c r="L8" s="390">
        <f>[10]STA_SP2_NO!$C$37</f>
        <v>1</v>
      </c>
      <c r="M8" s="332">
        <f>[11]STA_SP2_NO!$C$37</f>
        <v>0</v>
      </c>
      <c r="N8" s="249">
        <f t="shared" si="0"/>
        <v>1</v>
      </c>
    </row>
    <row r="9" spans="1:15" x14ac:dyDescent="0.25">
      <c r="A9" s="32">
        <v>5</v>
      </c>
      <c r="B9" s="33" t="s">
        <v>42</v>
      </c>
      <c r="C9" s="62">
        <f>[1]STA_SP2_NO!$C$38</f>
        <v>0</v>
      </c>
      <c r="D9" s="118">
        <f>[2]STA_SP2_NO!$C$38</f>
        <v>0</v>
      </c>
      <c r="E9" s="62">
        <f>[3]STA_SP2_NO!$C$38</f>
        <v>4</v>
      </c>
      <c r="F9" s="118">
        <f>[4]STA_SP2_NO!$C$38</f>
        <v>0</v>
      </c>
      <c r="G9" s="391">
        <f>[5]STA_SP2_NO!$C$38</f>
        <v>0</v>
      </c>
      <c r="H9" s="54">
        <f>[6]STA_SP2_NO!$C$38</f>
        <v>0</v>
      </c>
      <c r="I9" s="61">
        <f>[7]STA_SP2_NO!$C$38</f>
        <v>0</v>
      </c>
      <c r="J9" s="54">
        <f>[8]STA_SP2_NO!$C$38</f>
        <v>0</v>
      </c>
      <c r="K9" s="61">
        <f>[9]STA_SP2_NO!$C$38</f>
        <v>1</v>
      </c>
      <c r="L9" s="390">
        <f>[10]STA_SP2_NO!$C$38</f>
        <v>0</v>
      </c>
      <c r="M9" s="332">
        <f>[11]STA_SP2_NO!$C$38</f>
        <v>0</v>
      </c>
      <c r="N9" s="249">
        <f t="shared" si="0"/>
        <v>5</v>
      </c>
    </row>
    <row r="10" spans="1:15" x14ac:dyDescent="0.25">
      <c r="A10" s="32">
        <v>6</v>
      </c>
      <c r="B10" s="33" t="s">
        <v>43</v>
      </c>
      <c r="C10" s="62">
        <f>[1]STA_SP2_NO!$C$39</f>
        <v>0</v>
      </c>
      <c r="D10" s="118">
        <f>[2]STA_SP2_NO!$C$39</f>
        <v>1</v>
      </c>
      <c r="E10" s="62">
        <f>[3]STA_SP2_NO!$C$39</f>
        <v>0</v>
      </c>
      <c r="F10" s="118">
        <f>[4]STA_SP2_NO!$C$39</f>
        <v>0</v>
      </c>
      <c r="G10" s="391">
        <f>[5]STA_SP2_NO!$C$39</f>
        <v>1</v>
      </c>
      <c r="H10" s="54">
        <f>[6]STA_SP2_NO!$C$39</f>
        <v>0</v>
      </c>
      <c r="I10" s="61">
        <f>[7]STA_SP2_NO!$C$39</f>
        <v>0</v>
      </c>
      <c r="J10" s="54">
        <f>[8]STA_SP2_NO!$C$39</f>
        <v>0</v>
      </c>
      <c r="K10" s="61">
        <f>[9]STA_SP2_NO!$C$39</f>
        <v>14</v>
      </c>
      <c r="L10" s="390">
        <f>[10]STA_SP2_NO!$C$39</f>
        <v>2</v>
      </c>
      <c r="M10" s="332">
        <f>[11]STA_SP2_NO!$C$39</f>
        <v>0</v>
      </c>
      <c r="N10" s="249">
        <f t="shared" si="0"/>
        <v>18</v>
      </c>
    </row>
    <row r="11" spans="1:15" x14ac:dyDescent="0.25">
      <c r="A11" s="32">
        <v>7</v>
      </c>
      <c r="B11" s="33" t="s">
        <v>44</v>
      </c>
      <c r="C11" s="62">
        <f>[1]STA_SP2_NO!$C$40</f>
        <v>4</v>
      </c>
      <c r="D11" s="118">
        <f>[2]STA_SP2_NO!$C$40</f>
        <v>0</v>
      </c>
      <c r="E11" s="62">
        <f>[3]STA_SP2_NO!$C$40</f>
        <v>26</v>
      </c>
      <c r="F11" s="118">
        <f>[4]STA_SP2_NO!$C$40</f>
        <v>1</v>
      </c>
      <c r="G11" s="391">
        <f>[5]STA_SP2_NO!$C$40</f>
        <v>2</v>
      </c>
      <c r="H11" s="54">
        <f>[6]STA_SP2_NO!$C$40</f>
        <v>0</v>
      </c>
      <c r="I11" s="61">
        <f>[7]STA_SP2_NO!$C$40</f>
        <v>0</v>
      </c>
      <c r="J11" s="54">
        <f>[8]STA_SP2_NO!$C$40</f>
        <v>1</v>
      </c>
      <c r="K11" s="61">
        <f>[9]STA_SP2_NO!$C$40</f>
        <v>72</v>
      </c>
      <c r="L11" s="390">
        <f>[10]STA_SP2_NO!$C$40</f>
        <v>1</v>
      </c>
      <c r="M11" s="332">
        <f>[11]STA_SP2_NO!$C$40</f>
        <v>0</v>
      </c>
      <c r="N11" s="249">
        <f t="shared" si="0"/>
        <v>107</v>
      </c>
    </row>
    <row r="12" spans="1:15" ht="15.75" thickBot="1" x14ac:dyDescent="0.3">
      <c r="A12" s="34">
        <v>8</v>
      </c>
      <c r="B12" s="35" t="s">
        <v>45</v>
      </c>
      <c r="C12" s="62">
        <f>[1]STA_SP2_NO!$C$41</f>
        <v>0</v>
      </c>
      <c r="D12" s="118">
        <f>[2]STA_SP2_NO!$C$41</f>
        <v>0</v>
      </c>
      <c r="E12" s="62">
        <f>[3]STA_SP2_NO!$C$41</f>
        <v>0</v>
      </c>
      <c r="F12" s="118">
        <f>[4]STA_SP2_NO!$C$41</f>
        <v>0</v>
      </c>
      <c r="G12" s="391">
        <f>[5]STA_SP2_NO!$C$41</f>
        <v>0</v>
      </c>
      <c r="H12" s="54">
        <f>[6]STA_SP2_NO!$C$41</f>
        <v>0</v>
      </c>
      <c r="I12" s="61">
        <f>[7]STA_SP2_NO!$C$41</f>
        <v>0</v>
      </c>
      <c r="J12" s="54">
        <f>[8]STA_SP2_NO!$C$41</f>
        <v>0</v>
      </c>
      <c r="K12" s="61">
        <f>[9]STA_SP2_NO!$C$41</f>
        <v>0</v>
      </c>
      <c r="L12" s="390">
        <f>[10]STA_SP2_NO!$C$41</f>
        <v>0</v>
      </c>
      <c r="M12" s="332">
        <f>[11]STA_SP2_NO!$C$41</f>
        <v>0</v>
      </c>
      <c r="N12" s="249">
        <f t="shared" si="0"/>
        <v>0</v>
      </c>
    </row>
    <row r="13" spans="1:15" ht="15.75" thickBot="1" x14ac:dyDescent="0.3">
      <c r="A13" s="36"/>
      <c r="B13" s="37" t="s">
        <v>36</v>
      </c>
      <c r="C13" s="41">
        <f t="shared" ref="C13:F13" si="1">SUM(C5:C12)</f>
        <v>60</v>
      </c>
      <c r="D13" s="39">
        <f t="shared" si="1"/>
        <v>22</v>
      </c>
      <c r="E13" s="41">
        <f t="shared" si="1"/>
        <v>4050</v>
      </c>
      <c r="F13" s="39">
        <f t="shared" si="1"/>
        <v>47</v>
      </c>
      <c r="G13" s="392">
        <f t="shared" ref="G13:M13" si="2">SUM(G5:G12)</f>
        <v>39</v>
      </c>
      <c r="H13" s="39">
        <f t="shared" si="2"/>
        <v>1541</v>
      </c>
      <c r="I13" s="41">
        <f t="shared" si="2"/>
        <v>146</v>
      </c>
      <c r="J13" s="39">
        <f t="shared" si="2"/>
        <v>24</v>
      </c>
      <c r="K13" s="41">
        <f t="shared" si="2"/>
        <v>490</v>
      </c>
      <c r="L13" s="380">
        <f t="shared" si="2"/>
        <v>17</v>
      </c>
      <c r="M13" s="333">
        <f t="shared" si="2"/>
        <v>0</v>
      </c>
      <c r="N13" s="250">
        <f t="shared" si="0"/>
        <v>6436</v>
      </c>
    </row>
    <row r="14" spans="1:15" ht="15.75" thickBot="1" x14ac:dyDescent="0.3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8"/>
      <c r="N14" s="1"/>
    </row>
    <row r="15" spans="1:15" ht="15.75" thickBot="1" x14ac:dyDescent="0.3">
      <c r="A15" s="457" t="s">
        <v>52</v>
      </c>
      <c r="B15" s="529"/>
      <c r="C15" s="55">
        <f>C13/N13</f>
        <v>9.322560596643879E-3</v>
      </c>
      <c r="D15" s="56">
        <f>D13/N13</f>
        <v>3.4182722187694218E-3</v>
      </c>
      <c r="E15" s="48">
        <f>E13/N13</f>
        <v>0.62927284027346175</v>
      </c>
      <c r="F15" s="47">
        <f>F13/N13</f>
        <v>7.3026724673710382E-3</v>
      </c>
      <c r="G15" s="70">
        <f>G13/N13</f>
        <v>6.0596643878185205E-3</v>
      </c>
      <c r="H15" s="47">
        <f>H13/N13</f>
        <v>0.2394344313238036</v>
      </c>
      <c r="I15" s="70">
        <f>I13/N13</f>
        <v>2.2684897451833438E-2</v>
      </c>
      <c r="J15" s="47">
        <f>J13/N13</f>
        <v>3.7290242386575512E-3</v>
      </c>
      <c r="K15" s="70">
        <f>K13/N13</f>
        <v>7.6134244872591669E-2</v>
      </c>
      <c r="L15" s="389">
        <f>L13/N13</f>
        <v>2.6413921690490987E-3</v>
      </c>
      <c r="M15" s="342">
        <f>M13/N13</f>
        <v>0</v>
      </c>
      <c r="N15" s="258">
        <f>SUM(C15:M15)</f>
        <v>1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A17" s="26"/>
      <c r="B17" s="26"/>
      <c r="C17" s="469" t="s">
        <v>109</v>
      </c>
      <c r="D17" s="470"/>
      <c r="E17" s="470"/>
      <c r="F17" s="470"/>
      <c r="G17" s="470"/>
      <c r="H17" s="470"/>
      <c r="I17" s="470"/>
      <c r="J17" s="471"/>
      <c r="K17" s="471"/>
      <c r="L17" s="26"/>
      <c r="M17" s="26"/>
      <c r="N17" s="155" t="s">
        <v>35</v>
      </c>
    </row>
    <row r="18" spans="1:14" ht="15.75" thickBot="1" x14ac:dyDescent="0.3">
      <c r="A18" s="472" t="s">
        <v>0</v>
      </c>
      <c r="B18" s="534" t="s">
        <v>1</v>
      </c>
      <c r="C18" s="377" t="s">
        <v>2</v>
      </c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499" t="s">
        <v>3</v>
      </c>
    </row>
    <row r="19" spans="1:14" x14ac:dyDescent="0.25">
      <c r="A19" s="512"/>
      <c r="B19" s="513"/>
      <c r="C19" s="533" t="s">
        <v>68</v>
      </c>
      <c r="D19" s="474" t="s">
        <v>4</v>
      </c>
      <c r="E19" s="506" t="s">
        <v>5</v>
      </c>
      <c r="F19" s="474" t="s">
        <v>6</v>
      </c>
      <c r="G19" s="506" t="s">
        <v>8</v>
      </c>
      <c r="H19" s="474" t="s">
        <v>93</v>
      </c>
      <c r="I19" s="506" t="s">
        <v>96</v>
      </c>
      <c r="J19" s="516" t="s">
        <v>9</v>
      </c>
      <c r="K19" s="506" t="s">
        <v>92</v>
      </c>
      <c r="L19" s="474" t="s">
        <v>10</v>
      </c>
      <c r="M19" s="525" t="s">
        <v>95</v>
      </c>
      <c r="N19" s="500"/>
    </row>
    <row r="20" spans="1:14" ht="15.75" thickBot="1" x14ac:dyDescent="0.3">
      <c r="A20" s="507"/>
      <c r="B20" s="514"/>
      <c r="C20" s="521"/>
      <c r="D20" s="507"/>
      <c r="E20" s="507"/>
      <c r="F20" s="507"/>
      <c r="G20" s="515"/>
      <c r="H20" s="475"/>
      <c r="I20" s="515"/>
      <c r="J20" s="517"/>
      <c r="K20" s="515"/>
      <c r="L20" s="475"/>
      <c r="M20" s="527"/>
      <c r="N20" s="501"/>
    </row>
    <row r="21" spans="1:14" x14ac:dyDescent="0.25">
      <c r="A21" s="30">
        <v>1</v>
      </c>
      <c r="B21" s="31" t="s">
        <v>38</v>
      </c>
      <c r="C21" s="62">
        <f>[1]STA_SP2_NO!$D$34</f>
        <v>389.52</v>
      </c>
      <c r="D21" s="118">
        <f>[2]STA_SP2_NO!$D$34</f>
        <v>134.68</v>
      </c>
      <c r="E21" s="62">
        <f>[3]STA_SP2_NO!$D$34</f>
        <v>12532</v>
      </c>
      <c r="F21" s="118">
        <f>[4]STA_SP2_NO!$D$34</f>
        <v>307.57</v>
      </c>
      <c r="G21" s="391">
        <f>[5]STA_SP2_NO!$D$34</f>
        <v>205.41</v>
      </c>
      <c r="H21" s="54">
        <f>[6]STA_SP2_NO!$D$34</f>
        <v>5575.78</v>
      </c>
      <c r="I21" s="61">
        <f>[7]STA_SP2_NO!$D$34</f>
        <v>827</v>
      </c>
      <c r="J21" s="54">
        <f>[8]STA_SP2_NO!$D$34</f>
        <v>156</v>
      </c>
      <c r="K21" s="61">
        <f>[9]STA_SP2_NO!$D$34</f>
        <v>1347.44</v>
      </c>
      <c r="L21" s="390">
        <f>[10]STA_SP2_NO!$D$34</f>
        <v>141</v>
      </c>
      <c r="M21" s="393">
        <f>[11]STA_SP2_NO!$D$34</f>
        <v>0</v>
      </c>
      <c r="N21" s="249">
        <f t="shared" ref="N21:N29" si="3">SUM(C21:M21)</f>
        <v>21616.399999999998</v>
      </c>
    </row>
    <row r="22" spans="1:14" x14ac:dyDescent="0.25">
      <c r="A22" s="32">
        <v>2</v>
      </c>
      <c r="B22" s="33" t="s">
        <v>39</v>
      </c>
      <c r="C22" s="62">
        <f>[1]STA_SP2_NO!$D$35</f>
        <v>-0.01</v>
      </c>
      <c r="D22" s="118">
        <f>[2]STA_SP2_NO!$D$35</f>
        <v>0</v>
      </c>
      <c r="E22" s="62">
        <f>[3]STA_SP2_NO!$D$35</f>
        <v>524</v>
      </c>
      <c r="F22" s="118">
        <f>[4]STA_SP2_NO!$D$35</f>
        <v>7.4</v>
      </c>
      <c r="G22" s="391">
        <f>[5]STA_SP2_NO!$D$35</f>
        <v>0</v>
      </c>
      <c r="H22" s="54">
        <f>[6]STA_SP2_NO!$D$35</f>
        <v>0</v>
      </c>
      <c r="I22" s="61">
        <f>[7]STA_SP2_NO!$D$35</f>
        <v>0</v>
      </c>
      <c r="J22" s="54">
        <f>[8]STA_SP2_NO!$D$35</f>
        <v>0</v>
      </c>
      <c r="K22" s="61">
        <f>[9]STA_SP2_NO!$D$35</f>
        <v>143.04</v>
      </c>
      <c r="L22" s="390">
        <f>[10]STA_SP2_NO!$D$35</f>
        <v>0</v>
      </c>
      <c r="M22" s="393">
        <f>[11]STA_SP2_NO!$D$35</f>
        <v>0</v>
      </c>
      <c r="N22" s="249">
        <f t="shared" si="3"/>
        <v>674.43</v>
      </c>
    </row>
    <row r="23" spans="1:14" x14ac:dyDescent="0.25">
      <c r="A23" s="32">
        <v>3</v>
      </c>
      <c r="B23" s="33" t="s">
        <v>40</v>
      </c>
      <c r="C23" s="62">
        <f>[1]STA_SP2_NO!$D$36</f>
        <v>0</v>
      </c>
      <c r="D23" s="118">
        <f>[2]STA_SP2_NO!$D$36</f>
        <v>0</v>
      </c>
      <c r="E23" s="62">
        <f>[3]STA_SP2_NO!$D$36</f>
        <v>22</v>
      </c>
      <c r="F23" s="118">
        <f>[4]STA_SP2_NO!$D$36</f>
        <v>0</v>
      </c>
      <c r="G23" s="391">
        <f>[5]STA_SP2_NO!$D$36</f>
        <v>0</v>
      </c>
      <c r="H23" s="54">
        <f>[6]STA_SP2_NO!$D$36</f>
        <v>0</v>
      </c>
      <c r="I23" s="61">
        <f>[7]STA_SP2_NO!$D$36</f>
        <v>0</v>
      </c>
      <c r="J23" s="54">
        <f>[8]STA_SP2_NO!$D$36</f>
        <v>0</v>
      </c>
      <c r="K23" s="61">
        <f>[9]STA_SP2_NO!$D$36</f>
        <v>53.68</v>
      </c>
      <c r="L23" s="390">
        <f>[10]STA_SP2_NO!$D$36</f>
        <v>0</v>
      </c>
      <c r="M23" s="393">
        <f>[11]STA_SP2_NO!$D$36</f>
        <v>0</v>
      </c>
      <c r="N23" s="249">
        <f t="shared" si="3"/>
        <v>75.680000000000007</v>
      </c>
    </row>
    <row r="24" spans="1:14" x14ac:dyDescent="0.25">
      <c r="A24" s="32">
        <v>4</v>
      </c>
      <c r="B24" s="33" t="s">
        <v>41</v>
      </c>
      <c r="C24" s="62">
        <f>[1]STA_SP2_NO!$D$37</f>
        <v>0</v>
      </c>
      <c r="D24" s="118">
        <f>[2]STA_SP2_NO!$D$37</f>
        <v>0</v>
      </c>
      <c r="E24" s="62">
        <f>[3]STA_SP2_NO!$D$37</f>
        <v>0</v>
      </c>
      <c r="F24" s="118">
        <f>[4]STA_SP2_NO!$D$37</f>
        <v>0</v>
      </c>
      <c r="G24" s="391">
        <f>[5]STA_SP2_NO!$D$37</f>
        <v>0</v>
      </c>
      <c r="H24" s="54">
        <f>[6]STA_SP2_NO!$D$37</f>
        <v>0</v>
      </c>
      <c r="I24" s="61">
        <f>[7]STA_SP2_NO!$D$37</f>
        <v>0</v>
      </c>
      <c r="J24" s="54">
        <f>[8]STA_SP2_NO!$D$37</f>
        <v>0</v>
      </c>
      <c r="K24" s="61">
        <f>[9]STA_SP2_NO!$D$37</f>
        <v>0</v>
      </c>
      <c r="L24" s="390">
        <f>[10]STA_SP2_NO!$D$37</f>
        <v>1</v>
      </c>
      <c r="M24" s="393">
        <f>[11]STA_SP2_NO!$D$37</f>
        <v>0</v>
      </c>
      <c r="N24" s="249">
        <f t="shared" si="3"/>
        <v>1</v>
      </c>
    </row>
    <row r="25" spans="1:14" x14ac:dyDescent="0.25">
      <c r="A25" s="32">
        <v>5</v>
      </c>
      <c r="B25" s="33" t="s">
        <v>42</v>
      </c>
      <c r="C25" s="62">
        <f>[1]STA_SP2_NO!$D$38</f>
        <v>0</v>
      </c>
      <c r="D25" s="118">
        <f>[2]STA_SP2_NO!$D$38</f>
        <v>0</v>
      </c>
      <c r="E25" s="62">
        <f>[3]STA_SP2_NO!$D$38</f>
        <v>45</v>
      </c>
      <c r="F25" s="118">
        <f>[4]STA_SP2_NO!$D$38</f>
        <v>0</v>
      </c>
      <c r="G25" s="391">
        <f>[5]STA_SP2_NO!$D$38</f>
        <v>0</v>
      </c>
      <c r="H25" s="54">
        <f>[6]STA_SP2_NO!$D$38</f>
        <v>0</v>
      </c>
      <c r="I25" s="61">
        <f>[7]STA_SP2_NO!$D$38</f>
        <v>0</v>
      </c>
      <c r="J25" s="54">
        <f>[8]STA_SP2_NO!$D$38</f>
        <v>0</v>
      </c>
      <c r="K25" s="61">
        <f>[9]STA_SP2_NO!$D$38</f>
        <v>2.4700000000000002</v>
      </c>
      <c r="L25" s="390">
        <f>[10]STA_SP2_NO!$D$38</f>
        <v>0</v>
      </c>
      <c r="M25" s="393">
        <f>[11]STA_SP2_NO!$D$38</f>
        <v>0</v>
      </c>
      <c r="N25" s="249">
        <f t="shared" si="3"/>
        <v>47.47</v>
      </c>
    </row>
    <row r="26" spans="1:14" x14ac:dyDescent="0.25">
      <c r="A26" s="32">
        <v>6</v>
      </c>
      <c r="B26" s="33" t="s">
        <v>43</v>
      </c>
      <c r="C26" s="62">
        <f>[1]STA_SP2_NO!$D$39</f>
        <v>0</v>
      </c>
      <c r="D26" s="118">
        <f>[2]STA_SP2_NO!$D$39</f>
        <v>13.53</v>
      </c>
      <c r="E26" s="62">
        <f>[3]STA_SP2_NO!$D$39</f>
        <v>0</v>
      </c>
      <c r="F26" s="118">
        <f>[4]STA_SP2_NO!$D$39</f>
        <v>0</v>
      </c>
      <c r="G26" s="391">
        <f>[5]STA_SP2_NO!$D$39</f>
        <v>6.77</v>
      </c>
      <c r="H26" s="54">
        <f>[6]STA_SP2_NO!$D$39</f>
        <v>0</v>
      </c>
      <c r="I26" s="61">
        <f>[7]STA_SP2_NO!$D$39</f>
        <v>0</v>
      </c>
      <c r="J26" s="54">
        <f>[8]STA_SP2_NO!$D$39</f>
        <v>0</v>
      </c>
      <c r="K26" s="61">
        <f>[9]STA_SP2_NO!$D$39</f>
        <v>59.84</v>
      </c>
      <c r="L26" s="390">
        <f>[10]STA_SP2_NO!$D$39</f>
        <v>7</v>
      </c>
      <c r="M26" s="393">
        <f>[11]STA_SP2_NO!$D$39</f>
        <v>0</v>
      </c>
      <c r="N26" s="249">
        <f t="shared" si="3"/>
        <v>87.14</v>
      </c>
    </row>
    <row r="27" spans="1:14" x14ac:dyDescent="0.25">
      <c r="A27" s="32">
        <v>7</v>
      </c>
      <c r="B27" s="33" t="s">
        <v>44</v>
      </c>
      <c r="C27" s="62">
        <f>[1]STA_SP2_NO!$D$40</f>
        <v>2.77</v>
      </c>
      <c r="D27" s="118">
        <f>[2]STA_SP2_NO!$D$40</f>
        <v>0</v>
      </c>
      <c r="E27" s="62">
        <f>[3]STA_SP2_NO!$D$40</f>
        <v>16</v>
      </c>
      <c r="F27" s="118">
        <f>[4]STA_SP2_NO!$D$40</f>
        <v>0</v>
      </c>
      <c r="G27" s="391">
        <f>[5]STA_SP2_NO!$D$40</f>
        <v>1.23</v>
      </c>
      <c r="H27" s="54">
        <f>[6]STA_SP2_NO!$D$40</f>
        <v>0</v>
      </c>
      <c r="I27" s="61">
        <f>[7]STA_SP2_NO!$D$40</f>
        <v>0</v>
      </c>
      <c r="J27" s="54">
        <f>[8]STA_SP2_NO!$D$40</f>
        <v>1</v>
      </c>
      <c r="K27" s="61">
        <f>[9]STA_SP2_NO!$D$40</f>
        <v>138.93</v>
      </c>
      <c r="L27" s="390">
        <f>[10]STA_SP2_NO!$D$40</f>
        <v>1</v>
      </c>
      <c r="M27" s="393">
        <f>[11]STA_SP2_NO!$D$40</f>
        <v>0</v>
      </c>
      <c r="N27" s="249">
        <f t="shared" si="3"/>
        <v>160.93</v>
      </c>
    </row>
    <row r="28" spans="1:14" ht="15.75" thickBot="1" x14ac:dyDescent="0.3">
      <c r="A28" s="34">
        <v>8</v>
      </c>
      <c r="B28" s="35" t="s">
        <v>45</v>
      </c>
      <c r="C28" s="62">
        <f>[1]STA_SP2_NO!$D$41</f>
        <v>0</v>
      </c>
      <c r="D28" s="118">
        <f>[2]STA_SP2_NO!$D$41</f>
        <v>0</v>
      </c>
      <c r="E28" s="62">
        <f>[3]STA_SP2_NO!$D$41</f>
        <v>0</v>
      </c>
      <c r="F28" s="118">
        <f>[4]STA_SP2_NO!$D$41</f>
        <v>0</v>
      </c>
      <c r="G28" s="391">
        <f>[5]STA_SP2_NO!$D$41</f>
        <v>0</v>
      </c>
      <c r="H28" s="54">
        <f>[6]STA_SP2_NO!$D$41</f>
        <v>0</v>
      </c>
      <c r="I28" s="61">
        <f>[7]STA_SP2_NO!$D$41</f>
        <v>0</v>
      </c>
      <c r="J28" s="54">
        <f>[8]STA_SP2_NO!$D$41</f>
        <v>0</v>
      </c>
      <c r="K28" s="61">
        <f>[9]STA_SP2_NO!$D$41</f>
        <v>0</v>
      </c>
      <c r="L28" s="390">
        <f>[10]STA_SP2_NO!$D$41</f>
        <v>0</v>
      </c>
      <c r="M28" s="393">
        <f>[11]STA_SP2_NO!$D$41</f>
        <v>0</v>
      </c>
      <c r="N28" s="249">
        <f t="shared" si="3"/>
        <v>0</v>
      </c>
    </row>
    <row r="29" spans="1:14" ht="15.75" thickBot="1" x14ac:dyDescent="0.3">
      <c r="A29" s="36"/>
      <c r="B29" s="37" t="s">
        <v>36</v>
      </c>
      <c r="C29" s="41">
        <f t="shared" ref="C29:F29" si="4">SUM(C21:C28)</f>
        <v>392.28</v>
      </c>
      <c r="D29" s="51">
        <f>SUM(D21:D28)</f>
        <v>148.21</v>
      </c>
      <c r="E29" s="41">
        <f t="shared" si="4"/>
        <v>13139</v>
      </c>
      <c r="F29" s="39">
        <f t="shared" si="4"/>
        <v>314.96999999999997</v>
      </c>
      <c r="G29" s="392">
        <f t="shared" ref="G29:M29" si="5">SUM(G21:G28)</f>
        <v>213.41</v>
      </c>
      <c r="H29" s="39">
        <f t="shared" si="5"/>
        <v>5575.78</v>
      </c>
      <c r="I29" s="41">
        <f t="shared" si="5"/>
        <v>827</v>
      </c>
      <c r="J29" s="39">
        <f t="shared" si="5"/>
        <v>157</v>
      </c>
      <c r="K29" s="41">
        <f t="shared" si="5"/>
        <v>1745.4</v>
      </c>
      <c r="L29" s="380">
        <f t="shared" si="5"/>
        <v>150</v>
      </c>
      <c r="M29" s="333">
        <f t="shared" si="5"/>
        <v>0</v>
      </c>
      <c r="N29" s="250">
        <f t="shared" si="3"/>
        <v>22663.05</v>
      </c>
    </row>
    <row r="30" spans="1:14" ht="15.75" thickBot="1" x14ac:dyDescent="0.3">
      <c r="A30" s="1"/>
      <c r="B30" s="1"/>
      <c r="C30" s="1"/>
      <c r="D30" s="1"/>
      <c r="E30" s="1"/>
      <c r="F30" s="1"/>
      <c r="G30" s="341"/>
      <c r="H30" s="1"/>
      <c r="I30" s="341"/>
      <c r="J30" s="1"/>
      <c r="K30" s="341"/>
      <c r="L30" s="1"/>
      <c r="M30" s="348"/>
      <c r="N30" s="1"/>
    </row>
    <row r="31" spans="1:14" ht="15.75" thickBot="1" x14ac:dyDescent="0.3">
      <c r="A31" s="457" t="s">
        <v>52</v>
      </c>
      <c r="B31" s="529"/>
      <c r="C31" s="55">
        <f>C29/N29</f>
        <v>1.7309232428997862E-2</v>
      </c>
      <c r="D31" s="56">
        <f>D29/N29</f>
        <v>6.5397199406081715E-3</v>
      </c>
      <c r="E31" s="48">
        <f>E29/N29</f>
        <v>0.57975426961507825</v>
      </c>
      <c r="F31" s="47">
        <f>F29/N29</f>
        <v>1.3897952835121486E-2</v>
      </c>
      <c r="G31" s="70">
        <f>G29/N29</f>
        <v>9.4166495683502445E-3</v>
      </c>
      <c r="H31" s="47">
        <f>H29/N29</f>
        <v>0.24602955030324691</v>
      </c>
      <c r="I31" s="70">
        <f>I29/N29</f>
        <v>3.6491116597280597E-2</v>
      </c>
      <c r="J31" s="47">
        <f>J29/N29</f>
        <v>6.9275759441028463E-3</v>
      </c>
      <c r="K31" s="70">
        <f>K29/N29</f>
        <v>7.7015229635905152E-2</v>
      </c>
      <c r="L31" s="389">
        <f>L29/N29</f>
        <v>6.618703131308452E-3</v>
      </c>
      <c r="M31" s="342">
        <f>M29/N29</f>
        <v>0</v>
      </c>
      <c r="N31" s="258">
        <f>SUM(C31:M31)</f>
        <v>0.99999999999999989</v>
      </c>
    </row>
  </sheetData>
  <mergeCells count="33">
    <mergeCell ref="A31:B31"/>
    <mergeCell ref="F19:F20"/>
    <mergeCell ref="A15:B15"/>
    <mergeCell ref="C17:K17"/>
    <mergeCell ref="A18:A20"/>
    <mergeCell ref="B18:B20"/>
    <mergeCell ref="C19:C20"/>
    <mergeCell ref="D19:D20"/>
    <mergeCell ref="E19:E20"/>
    <mergeCell ref="K19:K20"/>
    <mergeCell ref="C1:K1"/>
    <mergeCell ref="A2:A4"/>
    <mergeCell ref="B2:B4"/>
    <mergeCell ref="H3:H4"/>
    <mergeCell ref="I3:I4"/>
    <mergeCell ref="J3:J4"/>
    <mergeCell ref="K3:K4"/>
    <mergeCell ref="N18:N20"/>
    <mergeCell ref="L19:L20"/>
    <mergeCell ref="C2:M2"/>
    <mergeCell ref="M3:M4"/>
    <mergeCell ref="M19:M20"/>
    <mergeCell ref="G19:G20"/>
    <mergeCell ref="H19:H20"/>
    <mergeCell ref="I19:I20"/>
    <mergeCell ref="J19:J20"/>
    <mergeCell ref="N2:N4"/>
    <mergeCell ref="C3:C4"/>
    <mergeCell ref="D3:D4"/>
    <mergeCell ref="E3:E4"/>
    <mergeCell ref="F3:F4"/>
    <mergeCell ref="G3:G4"/>
    <mergeCell ref="L3:L4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F24" sqref="F24"/>
    </sheetView>
  </sheetViews>
  <sheetFormatPr defaultRowHeight="15" x14ac:dyDescent="0.25"/>
  <cols>
    <col min="1" max="1" width="4.5703125" customWidth="1"/>
    <col min="2" max="2" width="26.7109375" customWidth="1"/>
  </cols>
  <sheetData>
    <row r="1" spans="1:14" ht="24.75" customHeight="1" thickBot="1" x14ac:dyDescent="0.3">
      <c r="A1" s="120"/>
      <c r="B1" s="120"/>
      <c r="C1" s="469" t="s">
        <v>110</v>
      </c>
      <c r="D1" s="470"/>
      <c r="E1" s="470"/>
      <c r="F1" s="470"/>
      <c r="G1" s="470"/>
      <c r="H1" s="470"/>
      <c r="I1" s="470"/>
      <c r="J1" s="544"/>
      <c r="K1" s="544"/>
      <c r="L1" s="120"/>
      <c r="M1" s="120"/>
      <c r="N1" s="121"/>
    </row>
    <row r="2" spans="1:14" ht="15.75" thickBot="1" x14ac:dyDescent="0.3">
      <c r="A2" s="472" t="s">
        <v>0</v>
      </c>
      <c r="B2" s="534" t="s">
        <v>1</v>
      </c>
      <c r="C2" s="377" t="s">
        <v>2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537" t="s">
        <v>3</v>
      </c>
    </row>
    <row r="3" spans="1:14" ht="15" customHeight="1" x14ac:dyDescent="0.25">
      <c r="A3" s="512"/>
      <c r="B3" s="513"/>
      <c r="C3" s="540" t="s">
        <v>68</v>
      </c>
      <c r="D3" s="541" t="s">
        <v>4</v>
      </c>
      <c r="E3" s="523" t="s">
        <v>5</v>
      </c>
      <c r="F3" s="474" t="s">
        <v>6</v>
      </c>
      <c r="G3" s="508" t="s">
        <v>8</v>
      </c>
      <c r="H3" s="474" t="s">
        <v>93</v>
      </c>
      <c r="I3" s="506" t="s">
        <v>96</v>
      </c>
      <c r="J3" s="530" t="s">
        <v>37</v>
      </c>
      <c r="K3" s="506" t="s">
        <v>92</v>
      </c>
      <c r="L3" s="474" t="s">
        <v>10</v>
      </c>
      <c r="M3" s="535" t="s">
        <v>95</v>
      </c>
      <c r="N3" s="538"/>
    </row>
    <row r="4" spans="1:14" ht="15.75" thickBot="1" x14ac:dyDescent="0.3">
      <c r="A4" s="507"/>
      <c r="B4" s="514"/>
      <c r="C4" s="503"/>
      <c r="D4" s="505"/>
      <c r="E4" s="507"/>
      <c r="F4" s="507"/>
      <c r="G4" s="509"/>
      <c r="H4" s="475"/>
      <c r="I4" s="515"/>
      <c r="J4" s="532"/>
      <c r="K4" s="515"/>
      <c r="L4" s="475"/>
      <c r="M4" s="536"/>
      <c r="N4" s="539"/>
    </row>
    <row r="5" spans="1:14" ht="15.75" thickBot="1" x14ac:dyDescent="0.3">
      <c r="A5" s="30">
        <v>1</v>
      </c>
      <c r="B5" s="31" t="s">
        <v>38</v>
      </c>
      <c r="C5" s="117">
        <f>[1]STA_SP2_NO!$J$11</f>
        <v>958</v>
      </c>
      <c r="D5" s="68">
        <f>[2]STA_SP2_NO!$J$11</f>
        <v>501</v>
      </c>
      <c r="E5" s="117">
        <f>[3]STA_SP2_NO!$J$11</f>
        <v>362</v>
      </c>
      <c r="F5" s="118">
        <f>[4]STA_SP2_NO!$J$11</f>
        <v>518</v>
      </c>
      <c r="G5" s="385">
        <f>[5]STA_SP2_NO!$J$11</f>
        <v>518</v>
      </c>
      <c r="H5" s="126">
        <f>[6]STA_SP2_NO!$J$11</f>
        <v>1021</v>
      </c>
      <c r="I5" s="143">
        <f>[7]STA_SP2_NO!$J$11</f>
        <v>1303</v>
      </c>
      <c r="J5" s="126">
        <f>[8]STA_SP2_NO!$J$11</f>
        <v>584</v>
      </c>
      <c r="K5" s="143">
        <f>[9]STA_SP2_NO!$J$11</f>
        <v>438</v>
      </c>
      <c r="L5" s="379">
        <f>[10]STA_SP2_NO!$J$11</f>
        <v>680</v>
      </c>
      <c r="M5" s="394">
        <f>[11]STA_SP2_NO!$J$11</f>
        <v>51</v>
      </c>
      <c r="N5" s="397">
        <f t="shared" ref="N5:N18" si="0">SUM(C5:M5)</f>
        <v>6934</v>
      </c>
    </row>
    <row r="6" spans="1:14" ht="15.75" thickBot="1" x14ac:dyDescent="0.3">
      <c r="A6" s="32">
        <v>2</v>
      </c>
      <c r="B6" s="33" t="s">
        <v>39</v>
      </c>
      <c r="C6" s="117">
        <f>[1]STA_SP2_NO!$J$12</f>
        <v>131</v>
      </c>
      <c r="D6" s="68">
        <f>[2]STA_SP2_NO!$J$12</f>
        <v>68</v>
      </c>
      <c r="E6" s="117">
        <f>[3]STA_SP2_NO!$J$12</f>
        <v>39</v>
      </c>
      <c r="F6" s="118">
        <f>[4]STA_SP2_NO!$J$12</f>
        <v>87</v>
      </c>
      <c r="G6" s="385">
        <f>[5]STA_SP2_NO!$J$12</f>
        <v>44</v>
      </c>
      <c r="H6" s="126">
        <f>[6]STA_SP2_NO!$J$12</f>
        <v>73</v>
      </c>
      <c r="I6" s="143">
        <f>[7]STA_SP2_NO!$J$12</f>
        <v>139</v>
      </c>
      <c r="J6" s="126">
        <f>[8]STA_SP2_NO!$J$12</f>
        <v>64</v>
      </c>
      <c r="K6" s="143">
        <f>[9]STA_SP2_NO!$J$12</f>
        <v>55</v>
      </c>
      <c r="L6" s="379">
        <f>[10]STA_SP2_NO!$J$12</f>
        <v>79</v>
      </c>
      <c r="M6" s="394">
        <f>[11]STA_SP2_NO!$J$12</f>
        <v>4</v>
      </c>
      <c r="N6" s="397">
        <f t="shared" si="0"/>
        <v>783</v>
      </c>
    </row>
    <row r="7" spans="1:14" ht="15.75" thickBot="1" x14ac:dyDescent="0.3">
      <c r="A7" s="32">
        <v>3</v>
      </c>
      <c r="B7" s="33" t="s">
        <v>40</v>
      </c>
      <c r="C7" s="117">
        <f>[1]STA_SP2_NO!$J$13</f>
        <v>24</v>
      </c>
      <c r="D7" s="68">
        <f>[2]STA_SP2_NO!$J$13</f>
        <v>3</v>
      </c>
      <c r="E7" s="117">
        <f>[3]STA_SP2_NO!$J$13</f>
        <v>4</v>
      </c>
      <c r="F7" s="118">
        <f>[4]STA_SP2_NO!$J$13</f>
        <v>2</v>
      </c>
      <c r="G7" s="385">
        <f>[5]STA_SP2_NO!$J$13</f>
        <v>2</v>
      </c>
      <c r="H7" s="126">
        <f>[6]STA_SP2_NO!$J$13</f>
        <v>6</v>
      </c>
      <c r="I7" s="143">
        <f>[7]STA_SP2_NO!$J$13</f>
        <v>14</v>
      </c>
      <c r="J7" s="126">
        <f>[8]STA_SP2_NO!$J$13</f>
        <v>5</v>
      </c>
      <c r="K7" s="143">
        <f>[9]STA_SP2_NO!$J$13</f>
        <v>4</v>
      </c>
      <c r="L7" s="379">
        <f>[10]STA_SP2_NO!$J$13</f>
        <v>2</v>
      </c>
      <c r="M7" s="394">
        <f>[11]STA_SP2_NO!$J$13</f>
        <v>0</v>
      </c>
      <c r="N7" s="397">
        <f t="shared" si="0"/>
        <v>66</v>
      </c>
    </row>
    <row r="8" spans="1:14" ht="15.75" thickBot="1" x14ac:dyDescent="0.3">
      <c r="A8" s="32">
        <v>4</v>
      </c>
      <c r="B8" s="33" t="s">
        <v>41</v>
      </c>
      <c r="C8" s="117">
        <f>[1]STA_SP2_NO!$J$14</f>
        <v>2</v>
      </c>
      <c r="D8" s="68">
        <f>[2]STA_SP2_NO!$J$14</f>
        <v>0</v>
      </c>
      <c r="E8" s="117">
        <f>[3]STA_SP2_NO!$J$14</f>
        <v>0</v>
      </c>
      <c r="F8" s="118">
        <f>[4]STA_SP2_NO!$J$14</f>
        <v>4</v>
      </c>
      <c r="G8" s="385">
        <f>[5]STA_SP2_NO!$J$14</f>
        <v>1</v>
      </c>
      <c r="H8" s="126">
        <f>[6]STA_SP2_NO!$J$14</f>
        <v>2</v>
      </c>
      <c r="I8" s="143">
        <f>[7]STA_SP2_NO!$J$14</f>
        <v>3</v>
      </c>
      <c r="J8" s="126">
        <f>[8]STA_SP2_NO!$J$14</f>
        <v>8</v>
      </c>
      <c r="K8" s="143">
        <f>[9]STA_SP2_NO!$J$14</f>
        <v>0</v>
      </c>
      <c r="L8" s="379">
        <f>[10]STA_SP2_NO!$J$14</f>
        <v>0</v>
      </c>
      <c r="M8" s="394">
        <f>[11]STA_SP2_NO!$J$14</f>
        <v>0</v>
      </c>
      <c r="N8" s="397">
        <f t="shared" si="0"/>
        <v>20</v>
      </c>
    </row>
    <row r="9" spans="1:14" ht="15.75" thickBot="1" x14ac:dyDescent="0.3">
      <c r="A9" s="32">
        <v>5</v>
      </c>
      <c r="B9" s="33" t="s">
        <v>42</v>
      </c>
      <c r="C9" s="117">
        <f>[1]STA_SP2_NO!$J$15</f>
        <v>0</v>
      </c>
      <c r="D9" s="68">
        <f>[2]STA_SP2_NO!$J$15</f>
        <v>1</v>
      </c>
      <c r="E9" s="117">
        <f>[3]STA_SP2_NO!$J$15</f>
        <v>1</v>
      </c>
      <c r="F9" s="118">
        <f>[4]STA_SP2_NO!$J$15</f>
        <v>0</v>
      </c>
      <c r="G9" s="385">
        <f>[5]STA_SP2_NO!$J$15</f>
        <v>0</v>
      </c>
      <c r="H9" s="126">
        <f>[6]STA_SP2_NO!$J$15</f>
        <v>11</v>
      </c>
      <c r="I9" s="143">
        <f>[7]STA_SP2_NO!$J$15</f>
        <v>0</v>
      </c>
      <c r="J9" s="126">
        <f>[8]STA_SP2_NO!$J$15</f>
        <v>6</v>
      </c>
      <c r="K9" s="143">
        <f>[9]STA_SP2_NO!$J$15</f>
        <v>0</v>
      </c>
      <c r="L9" s="379">
        <f>[10]STA_SP2_NO!$J$15</f>
        <v>1</v>
      </c>
      <c r="M9" s="394">
        <f>[11]STA_SP2_NO!$J$15</f>
        <v>0</v>
      </c>
      <c r="N9" s="397">
        <f t="shared" si="0"/>
        <v>20</v>
      </c>
    </row>
    <row r="10" spans="1:14" ht="15.75" thickBot="1" x14ac:dyDescent="0.3">
      <c r="A10" s="32">
        <v>6</v>
      </c>
      <c r="B10" s="33" t="s">
        <v>43</v>
      </c>
      <c r="C10" s="117">
        <f>[1]STA_SP2_NO!$J$16</f>
        <v>12</v>
      </c>
      <c r="D10" s="68">
        <f>[2]STA_SP2_NO!$J$16</f>
        <v>4</v>
      </c>
      <c r="E10" s="117">
        <f>[3]STA_SP2_NO!$J$16</f>
        <v>4</v>
      </c>
      <c r="F10" s="118">
        <f>[4]STA_SP2_NO!$J$16</f>
        <v>8</v>
      </c>
      <c r="G10" s="385">
        <f>[5]STA_SP2_NO!$J$16</f>
        <v>1</v>
      </c>
      <c r="H10" s="126">
        <f>[6]STA_SP2_NO!$J$16</f>
        <v>24</v>
      </c>
      <c r="I10" s="143">
        <f>[7]STA_SP2_NO!$J$16</f>
        <v>9</v>
      </c>
      <c r="J10" s="126">
        <f>[8]STA_SP2_NO!$J$16</f>
        <v>5</v>
      </c>
      <c r="K10" s="143">
        <f>[9]STA_SP2_NO!$J$16</f>
        <v>4</v>
      </c>
      <c r="L10" s="379">
        <f>[10]STA_SP2_NO!$J$16</f>
        <v>5</v>
      </c>
      <c r="M10" s="394">
        <f>[11]STA_SP2_NO!$J$16</f>
        <v>0</v>
      </c>
      <c r="N10" s="397">
        <f t="shared" si="0"/>
        <v>76</v>
      </c>
    </row>
    <row r="11" spans="1:14" ht="15.75" thickBot="1" x14ac:dyDescent="0.3">
      <c r="A11" s="32">
        <v>7</v>
      </c>
      <c r="B11" s="33" t="s">
        <v>44</v>
      </c>
      <c r="C11" s="117">
        <f>[1]STA_SP2_NO!$J$17</f>
        <v>0</v>
      </c>
      <c r="D11" s="68">
        <f>[2]STA_SP2_NO!$J$17</f>
        <v>0</v>
      </c>
      <c r="E11" s="117">
        <f>[3]STA_SP2_NO!$J$17</f>
        <v>0</v>
      </c>
      <c r="F11" s="118">
        <f>[4]STA_SP2_NO!$J$17</f>
        <v>0</v>
      </c>
      <c r="G11" s="385">
        <f>[5]STA_SP2_NO!$J$17</f>
        <v>0</v>
      </c>
      <c r="H11" s="126">
        <f>[6]STA_SP2_NO!$J$17</f>
        <v>3</v>
      </c>
      <c r="I11" s="143">
        <f>[7]STA_SP2_NO!$J$17</f>
        <v>1</v>
      </c>
      <c r="J11" s="126">
        <f>[8]STA_SP2_NO!$J$17</f>
        <v>0</v>
      </c>
      <c r="K11" s="143">
        <f>[9]STA_SP2_NO!$J$17</f>
        <v>1</v>
      </c>
      <c r="L11" s="379">
        <f>[10]STA_SP2_NO!$J$17</f>
        <v>0</v>
      </c>
      <c r="M11" s="394">
        <f>[11]STA_SP2_NO!$J$17</f>
        <v>0</v>
      </c>
      <c r="N11" s="397">
        <f t="shared" si="0"/>
        <v>5</v>
      </c>
    </row>
    <row r="12" spans="1:14" ht="15.75" thickBot="1" x14ac:dyDescent="0.3">
      <c r="A12" s="32">
        <v>8</v>
      </c>
      <c r="B12" s="33" t="s">
        <v>45</v>
      </c>
      <c r="C12" s="117">
        <f>[1]STA_SP2_NO!$J$18</f>
        <v>4</v>
      </c>
      <c r="D12" s="68">
        <f>[2]STA_SP2_NO!$J$18</f>
        <v>1</v>
      </c>
      <c r="E12" s="117">
        <f>[3]STA_SP2_NO!$J$18</f>
        <v>7</v>
      </c>
      <c r="F12" s="118">
        <f>[4]STA_SP2_NO!$J$18</f>
        <v>1</v>
      </c>
      <c r="G12" s="385">
        <f>[5]STA_SP2_NO!$J$18</f>
        <v>0</v>
      </c>
      <c r="H12" s="126">
        <f>[6]STA_SP2_NO!$J$18</f>
        <v>0</v>
      </c>
      <c r="I12" s="143">
        <f>[7]STA_SP2_NO!$J$18</f>
        <v>1</v>
      </c>
      <c r="J12" s="126">
        <f>[8]STA_SP2_NO!$J$18</f>
        <v>10</v>
      </c>
      <c r="K12" s="143">
        <f>[9]STA_SP2_NO!$J$18</f>
        <v>0</v>
      </c>
      <c r="L12" s="379">
        <f>[10]STA_SP2_NO!$J$18</f>
        <v>3</v>
      </c>
      <c r="M12" s="394">
        <f>[11]STA_SP2_NO!$J$18</f>
        <v>0</v>
      </c>
      <c r="N12" s="397">
        <f t="shared" si="0"/>
        <v>27</v>
      </c>
    </row>
    <row r="13" spans="1:14" ht="23.25" thickBot="1" x14ac:dyDescent="0.3">
      <c r="A13" s="32">
        <v>9</v>
      </c>
      <c r="B13" s="53" t="s">
        <v>46</v>
      </c>
      <c r="C13" s="117">
        <f>[1]STA_SP2_NO!$J$19</f>
        <v>0</v>
      </c>
      <c r="D13" s="68">
        <f>[2]STA_SP2_NO!$J$19</f>
        <v>0</v>
      </c>
      <c r="E13" s="117">
        <f>[3]STA_SP2_NO!$J$19</f>
        <v>0</v>
      </c>
      <c r="F13" s="118">
        <f>[4]STA_SP2_NO!$J$19</f>
        <v>0</v>
      </c>
      <c r="G13" s="385">
        <f>[5]STA_SP2_NO!$J$19</f>
        <v>0</v>
      </c>
      <c r="H13" s="126">
        <f>[6]STA_SP2_NO!$J$19</f>
        <v>0</v>
      </c>
      <c r="I13" s="143">
        <f>[7]STA_SP2_NO!$J$19</f>
        <v>0</v>
      </c>
      <c r="J13" s="126">
        <f>[8]STA_SP2_NO!$J$19</f>
        <v>0</v>
      </c>
      <c r="K13" s="143">
        <f>[9]STA_SP2_NO!$J$19</f>
        <v>0</v>
      </c>
      <c r="L13" s="379">
        <f>[10]STA_SP2_NO!$J$19</f>
        <v>0</v>
      </c>
      <c r="M13" s="394">
        <f>[11]STA_SP2_NO!$J$19</f>
        <v>0</v>
      </c>
      <c r="N13" s="397">
        <f t="shared" si="0"/>
        <v>0</v>
      </c>
    </row>
    <row r="14" spans="1:14" ht="27" customHeight="1" thickBot="1" x14ac:dyDescent="0.3">
      <c r="A14" s="32">
        <v>10</v>
      </c>
      <c r="B14" s="53" t="s">
        <v>47</v>
      </c>
      <c r="C14" s="117">
        <f>[1]STA_SP2_NO!$J$20</f>
        <v>0</v>
      </c>
      <c r="D14" s="68">
        <f>[2]STA_SP2_NO!$J$20</f>
        <v>0</v>
      </c>
      <c r="E14" s="117">
        <f>[3]STA_SP2_NO!$J$20</f>
        <v>0</v>
      </c>
      <c r="F14" s="118">
        <f>[4]STA_SP2_NO!$J$20</f>
        <v>0</v>
      </c>
      <c r="G14" s="385">
        <f>[5]STA_SP2_NO!$J$20</f>
        <v>0</v>
      </c>
      <c r="H14" s="126">
        <f>[6]STA_SP2_NO!$J$20</f>
        <v>0</v>
      </c>
      <c r="I14" s="143">
        <f>[7]STA_SP2_NO!$J$20</f>
        <v>0</v>
      </c>
      <c r="J14" s="126">
        <f>[8]STA_SP2_NO!$J$20</f>
        <v>0</v>
      </c>
      <c r="K14" s="143">
        <f>[9]STA_SP2_NO!$J$20</f>
        <v>0</v>
      </c>
      <c r="L14" s="379">
        <f>[10]STA_SP2_NO!$J$20</f>
        <v>0</v>
      </c>
      <c r="M14" s="394">
        <f>[11]STA_SP2_NO!$J$20</f>
        <v>0</v>
      </c>
      <c r="N14" s="397">
        <f t="shared" si="0"/>
        <v>0</v>
      </c>
    </row>
    <row r="15" spans="1:14" ht="15.75" thickBot="1" x14ac:dyDescent="0.3">
      <c r="A15" s="32">
        <v>11</v>
      </c>
      <c r="B15" s="33" t="s">
        <v>48</v>
      </c>
      <c r="C15" s="117">
        <f>[1]STA_SP2_NO!$J$21</f>
        <v>0</v>
      </c>
      <c r="D15" s="68">
        <f>[2]STA_SP2_NO!$J$21</f>
        <v>0</v>
      </c>
      <c r="E15" s="117">
        <f>[3]STA_SP2_NO!$J$21</f>
        <v>0</v>
      </c>
      <c r="F15" s="118">
        <f>[4]STA_SP2_NO!$J$21</f>
        <v>0</v>
      </c>
      <c r="G15" s="385">
        <f>[5]STA_SP2_NO!$J$21</f>
        <v>0</v>
      </c>
      <c r="H15" s="126">
        <f>[6]STA_SP2_NO!$J$21</f>
        <v>0</v>
      </c>
      <c r="I15" s="143">
        <f>[7]STA_SP2_NO!$J$21</f>
        <v>0</v>
      </c>
      <c r="J15" s="126">
        <f>[8]STA_SP2_NO!$J$21</f>
        <v>0</v>
      </c>
      <c r="K15" s="143">
        <f>[9]STA_SP2_NO!$J$21</f>
        <v>0</v>
      </c>
      <c r="L15" s="379">
        <f>[10]STA_SP2_NO!$J$21</f>
        <v>0</v>
      </c>
      <c r="M15" s="394">
        <f>[11]STA_SP2_NO!$J$21</f>
        <v>0</v>
      </c>
      <c r="N15" s="397">
        <f t="shared" si="0"/>
        <v>0</v>
      </c>
    </row>
    <row r="16" spans="1:14" ht="57" thickBot="1" x14ac:dyDescent="0.3">
      <c r="A16" s="32">
        <v>12</v>
      </c>
      <c r="B16" s="53" t="s">
        <v>49</v>
      </c>
      <c r="C16" s="117">
        <f>[1]STA_SP2_NO!$J$22</f>
        <v>0</v>
      </c>
      <c r="D16" s="68">
        <f>[2]STA_SP2_NO!$J$22</f>
        <v>0</v>
      </c>
      <c r="E16" s="117">
        <f>[3]STA_SP2_NO!$J$22</f>
        <v>0</v>
      </c>
      <c r="F16" s="118">
        <f>[4]STA_SP2_NO!$J$22</f>
        <v>0</v>
      </c>
      <c r="G16" s="385">
        <f>[5]STA_SP2_NO!$J$22</f>
        <v>0</v>
      </c>
      <c r="H16" s="126">
        <f>[6]STA_SP2_NO!$J$22</f>
        <v>0</v>
      </c>
      <c r="I16" s="143">
        <f>[7]STA_SP2_NO!$J$22</f>
        <v>0</v>
      </c>
      <c r="J16" s="126">
        <f>[8]STA_SP2_NO!$J$22</f>
        <v>0</v>
      </c>
      <c r="K16" s="143">
        <f>[9]STA_SP2_NO!$J$22</f>
        <v>0</v>
      </c>
      <c r="L16" s="379">
        <f>[10]STA_SP2_NO!$J$22</f>
        <v>0</v>
      </c>
      <c r="M16" s="395">
        <f>[11]STA_SP2_NO!$J$22</f>
        <v>0</v>
      </c>
      <c r="N16" s="397">
        <f t="shared" si="0"/>
        <v>0</v>
      </c>
    </row>
    <row r="17" spans="1:14" ht="34.5" thickBot="1" x14ac:dyDescent="0.3">
      <c r="A17" s="32">
        <v>13</v>
      </c>
      <c r="B17" s="53" t="s">
        <v>50</v>
      </c>
      <c r="C17" s="117">
        <f>[1]STA_SP2_NO!$J$23</f>
        <v>0</v>
      </c>
      <c r="D17" s="68">
        <f>[2]STA_SP2_NO!$J$23</f>
        <v>0</v>
      </c>
      <c r="E17" s="117">
        <f>[3]STA_SP2_NO!$J$23</f>
        <v>0</v>
      </c>
      <c r="F17" s="118">
        <f>[4]STA_SP2_NO!$J$23</f>
        <v>0</v>
      </c>
      <c r="G17" s="385">
        <f>[5]STA_SP2_NO!$J$23</f>
        <v>0</v>
      </c>
      <c r="H17" s="126">
        <f>[6]STA_SP2_NO!$J$23</f>
        <v>0</v>
      </c>
      <c r="I17" s="143">
        <f>[7]STA_SP2_NO!$J$23</f>
        <v>0</v>
      </c>
      <c r="J17" s="126">
        <f>[8]STA_SP2_NO!$J$23</f>
        <v>0</v>
      </c>
      <c r="K17" s="143">
        <f>[9]STA_SP2_NO!$J$23</f>
        <v>0</v>
      </c>
      <c r="L17" s="379">
        <f>[10]STA_SP2_NO!$J$23</f>
        <v>0</v>
      </c>
      <c r="M17" s="395">
        <f>[11]STA_SP2_NO!$J$23</f>
        <v>0</v>
      </c>
      <c r="N17" s="397">
        <f t="shared" si="0"/>
        <v>0</v>
      </c>
    </row>
    <row r="18" spans="1:14" ht="15.75" thickBot="1" x14ac:dyDescent="0.3">
      <c r="A18" s="36"/>
      <c r="B18" s="37" t="s">
        <v>36</v>
      </c>
      <c r="C18" s="41">
        <f t="shared" ref="C18:F18" si="1">SUM(C5:C17)</f>
        <v>1131</v>
      </c>
      <c r="D18" s="42">
        <f t="shared" si="1"/>
        <v>578</v>
      </c>
      <c r="E18" s="41">
        <f t="shared" si="1"/>
        <v>417</v>
      </c>
      <c r="F18" s="39">
        <f t="shared" si="1"/>
        <v>620</v>
      </c>
      <c r="G18" s="40">
        <f t="shared" ref="G18:M18" si="2">SUM(G5:G17)</f>
        <v>566</v>
      </c>
      <c r="H18" s="39">
        <f t="shared" si="2"/>
        <v>1140</v>
      </c>
      <c r="I18" s="40">
        <f t="shared" si="2"/>
        <v>1470</v>
      </c>
      <c r="J18" s="39">
        <f t="shared" si="2"/>
        <v>682</v>
      </c>
      <c r="K18" s="40">
        <f t="shared" si="2"/>
        <v>502</v>
      </c>
      <c r="L18" s="380">
        <f t="shared" si="2"/>
        <v>770</v>
      </c>
      <c r="M18" s="396">
        <f t="shared" si="2"/>
        <v>55</v>
      </c>
      <c r="N18" s="234">
        <f t="shared" si="0"/>
        <v>7931</v>
      </c>
    </row>
    <row r="19" spans="1:14" ht="15.75" thickBot="1" x14ac:dyDescent="0.3">
      <c r="A19" s="108"/>
      <c r="B19" s="109"/>
      <c r="C19" s="46"/>
      <c r="D19" s="40"/>
      <c r="E19" s="46"/>
      <c r="F19" s="40"/>
      <c r="G19" s="40"/>
      <c r="H19" s="46"/>
      <c r="I19" s="40"/>
      <c r="J19" s="46"/>
      <c r="K19" s="40"/>
      <c r="L19" s="46"/>
      <c r="M19" s="348"/>
      <c r="N19" s="46"/>
    </row>
    <row r="20" spans="1:14" ht="15.75" thickBot="1" x14ac:dyDescent="0.3">
      <c r="A20" s="542" t="s">
        <v>52</v>
      </c>
      <c r="B20" s="543"/>
      <c r="C20" s="55">
        <f>C18/N18</f>
        <v>0.14260496784768628</v>
      </c>
      <c r="D20" s="56">
        <f>D18/N18</f>
        <v>7.2878577732946662E-2</v>
      </c>
      <c r="E20" s="48">
        <f>E18/N18</f>
        <v>5.2578489471693357E-2</v>
      </c>
      <c r="F20" s="47">
        <f>F18/N18</f>
        <v>7.8174252931534488E-2</v>
      </c>
      <c r="G20" s="70">
        <f>G18/N18</f>
        <v>7.1365527676207283E-2</v>
      </c>
      <c r="H20" s="47">
        <f>H18/N18</f>
        <v>0.14373975539024084</v>
      </c>
      <c r="I20" s="70">
        <f>I18/N18</f>
        <v>0.18534863195057369</v>
      </c>
      <c r="J20" s="47">
        <f>J18/N18</f>
        <v>8.5991678224687937E-2</v>
      </c>
      <c r="K20" s="70">
        <f>K18/N18</f>
        <v>6.329592737359728E-2</v>
      </c>
      <c r="L20" s="389">
        <f>L18/N18</f>
        <v>9.7087378640776698E-2</v>
      </c>
      <c r="M20" s="342">
        <f>M18/N18</f>
        <v>6.9348127600554789E-3</v>
      </c>
      <c r="N20" s="258">
        <f>SUM(C20:M20)</f>
        <v>0.99999999999999989</v>
      </c>
    </row>
  </sheetData>
  <mergeCells count="16">
    <mergeCell ref="A20:B20"/>
    <mergeCell ref="C1:K1"/>
    <mergeCell ref="A2:A4"/>
    <mergeCell ref="B2:B4"/>
    <mergeCell ref="H3:H4"/>
    <mergeCell ref="I3:I4"/>
    <mergeCell ref="J3:J4"/>
    <mergeCell ref="K3:K4"/>
    <mergeCell ref="M3:M4"/>
    <mergeCell ref="N2:N4"/>
    <mergeCell ref="C3:C4"/>
    <mergeCell ref="D3:D4"/>
    <mergeCell ref="E3:E4"/>
    <mergeCell ref="F3:F4"/>
    <mergeCell ref="G3:G4"/>
    <mergeCell ref="L3:L4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F24" sqref="F24"/>
    </sheetView>
  </sheetViews>
  <sheetFormatPr defaultRowHeight="15" x14ac:dyDescent="0.25"/>
  <cols>
    <col min="1" max="1" width="2.85546875" customWidth="1"/>
    <col min="2" max="2" width="26.5703125" customWidth="1"/>
    <col min="6" max="6" width="9.5703125" bestFit="1" customWidth="1"/>
    <col min="11" max="11" width="9.5703125" bestFit="1" customWidth="1"/>
    <col min="14" max="14" width="8.5703125" customWidth="1"/>
  </cols>
  <sheetData>
    <row r="1" spans="1:14" ht="32.25" customHeight="1" thickBot="1" x14ac:dyDescent="0.3">
      <c r="A1" s="120" t="s">
        <v>66</v>
      </c>
      <c r="B1" s="26"/>
      <c r="C1" s="469" t="s">
        <v>111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155" t="s">
        <v>35</v>
      </c>
    </row>
    <row r="2" spans="1:14" ht="15.75" thickBot="1" x14ac:dyDescent="0.3">
      <c r="A2" s="472" t="s">
        <v>0</v>
      </c>
      <c r="B2" s="474" t="s">
        <v>1</v>
      </c>
      <c r="C2" s="494" t="s">
        <v>2</v>
      </c>
      <c r="D2" s="495"/>
      <c r="E2" s="495"/>
      <c r="F2" s="495"/>
      <c r="G2" s="495"/>
      <c r="H2" s="495"/>
      <c r="I2" s="495"/>
      <c r="J2" s="495"/>
      <c r="K2" s="495"/>
      <c r="L2" s="495"/>
      <c r="M2" s="496"/>
      <c r="N2" s="499" t="s">
        <v>3</v>
      </c>
    </row>
    <row r="3" spans="1:14" ht="24" customHeight="1" x14ac:dyDescent="0.25">
      <c r="A3" s="512"/>
      <c r="B3" s="513"/>
      <c r="C3" s="540" t="s">
        <v>68</v>
      </c>
      <c r="D3" s="541" t="s">
        <v>4</v>
      </c>
      <c r="E3" s="523" t="s">
        <v>5</v>
      </c>
      <c r="F3" s="474" t="s">
        <v>6</v>
      </c>
      <c r="G3" s="506" t="s">
        <v>8</v>
      </c>
      <c r="H3" s="474" t="s">
        <v>93</v>
      </c>
      <c r="I3" s="506" t="s">
        <v>96</v>
      </c>
      <c r="J3" s="530" t="s">
        <v>37</v>
      </c>
      <c r="K3" s="506" t="s">
        <v>92</v>
      </c>
      <c r="L3" s="474" t="s">
        <v>10</v>
      </c>
      <c r="M3" s="525" t="s">
        <v>95</v>
      </c>
      <c r="N3" s="500"/>
    </row>
    <row r="4" spans="1:14" ht="15.75" thickBot="1" x14ac:dyDescent="0.3">
      <c r="A4" s="507"/>
      <c r="B4" s="514"/>
      <c r="C4" s="503"/>
      <c r="D4" s="505"/>
      <c r="E4" s="507"/>
      <c r="F4" s="507"/>
      <c r="G4" s="515"/>
      <c r="H4" s="475"/>
      <c r="I4" s="515"/>
      <c r="J4" s="532"/>
      <c r="K4" s="515"/>
      <c r="L4" s="475"/>
      <c r="M4" s="527"/>
      <c r="N4" s="501"/>
    </row>
    <row r="5" spans="1:14" ht="15.75" thickBot="1" x14ac:dyDescent="0.3">
      <c r="A5" s="30">
        <v>1</v>
      </c>
      <c r="B5" s="31" t="s">
        <v>38</v>
      </c>
      <c r="C5" s="117">
        <f>[1]STA_SP2_NO!$K$11</f>
        <v>63194.07</v>
      </c>
      <c r="D5" s="68">
        <f>[2]STA_SP2_NO!$K$11</f>
        <v>36792.42</v>
      </c>
      <c r="E5" s="117">
        <f>[3]STA_SP2_NO!$K$11</f>
        <v>21419</v>
      </c>
      <c r="F5" s="388">
        <f>[4]STA_SP2_NO!$K$11</f>
        <v>33742.949999999997</v>
      </c>
      <c r="G5" s="385">
        <f>[5]STA_SP2_NO!$K$11</f>
        <v>37046.68</v>
      </c>
      <c r="H5" s="126">
        <f>[6]STA_SP2_NO!$K$11</f>
        <v>43788.23</v>
      </c>
      <c r="I5" s="143">
        <f>[7]STA_SP2_NO!$K$11</f>
        <v>74761</v>
      </c>
      <c r="J5" s="126">
        <f>[8]STA_SP2_NO!$K$11</f>
        <v>33893.4</v>
      </c>
      <c r="K5" s="143">
        <f>[9]STA_SP2_NO!$K$11</f>
        <v>32591.08</v>
      </c>
      <c r="L5" s="379">
        <f>[10]STA_SP2_NO!$K$11</f>
        <v>47350</v>
      </c>
      <c r="M5" s="386">
        <f>[11]STA_SP2_NO!$K$11</f>
        <v>3991.4</v>
      </c>
      <c r="N5" s="249">
        <f t="shared" ref="N5:N17" si="0">SUM(C5:M5)</f>
        <v>428570.23000000004</v>
      </c>
    </row>
    <row r="6" spans="1:14" ht="15.75" thickBot="1" x14ac:dyDescent="0.3">
      <c r="A6" s="32">
        <v>2</v>
      </c>
      <c r="B6" s="33" t="s">
        <v>39</v>
      </c>
      <c r="C6" s="117">
        <f>[1]STA_SP2_NO!$K$12</f>
        <v>10436.49</v>
      </c>
      <c r="D6" s="68">
        <f>[2]STA_SP2_NO!$K$12</f>
        <v>3239.21</v>
      </c>
      <c r="E6" s="117">
        <f>[3]STA_SP2_NO!$K$12</f>
        <v>3409</v>
      </c>
      <c r="F6" s="388">
        <f>[4]STA_SP2_NO!$K$12</f>
        <v>15596.99</v>
      </c>
      <c r="G6" s="385">
        <f>[5]STA_SP2_NO!$K$12</f>
        <v>2248.9299999999998</v>
      </c>
      <c r="H6" s="126">
        <f>[6]STA_SP2_NO!$K$12</f>
        <v>4048.79</v>
      </c>
      <c r="I6" s="143">
        <f>[7]STA_SP2_NO!$K$12</f>
        <v>9943</v>
      </c>
      <c r="J6" s="126">
        <f>[8]STA_SP2_NO!$K$12</f>
        <v>4060</v>
      </c>
      <c r="K6" s="143">
        <f>[9]STA_SP2_NO!$K$12</f>
        <v>3827.28</v>
      </c>
      <c r="L6" s="379">
        <f>[10]STA_SP2_NO!$K$12</f>
        <v>5282</v>
      </c>
      <c r="M6" s="386">
        <f>[11]STA_SP2_NO!$K$12</f>
        <v>250.41</v>
      </c>
      <c r="N6" s="249">
        <f t="shared" si="0"/>
        <v>62342.100000000006</v>
      </c>
    </row>
    <row r="7" spans="1:14" ht="15.75" thickBot="1" x14ac:dyDescent="0.3">
      <c r="A7" s="32">
        <v>3</v>
      </c>
      <c r="B7" s="33" t="s">
        <v>40</v>
      </c>
      <c r="C7" s="117">
        <f>[1]STA_SP2_NO!$K$13</f>
        <v>1865.52</v>
      </c>
      <c r="D7" s="68">
        <f>[2]STA_SP2_NO!$K$13</f>
        <v>133.15</v>
      </c>
      <c r="E7" s="117">
        <f>[3]STA_SP2_NO!$K$13</f>
        <v>262</v>
      </c>
      <c r="F7" s="388">
        <f>[4]STA_SP2_NO!$K$13</f>
        <v>287.74</v>
      </c>
      <c r="G7" s="385">
        <f>[5]STA_SP2_NO!$K$13</f>
        <v>45.91</v>
      </c>
      <c r="H7" s="126">
        <f>[6]STA_SP2_NO!$K$13</f>
        <v>150.32</v>
      </c>
      <c r="I7" s="143">
        <f>[7]STA_SP2_NO!$K$13</f>
        <v>1775</v>
      </c>
      <c r="J7" s="126">
        <f>[8]STA_SP2_NO!$K$13</f>
        <v>186</v>
      </c>
      <c r="K7" s="143">
        <f>[9]STA_SP2_NO!$K$13</f>
        <v>262.91000000000003</v>
      </c>
      <c r="L7" s="379">
        <f>[10]STA_SP2_NO!$K$13</f>
        <v>243</v>
      </c>
      <c r="M7" s="386">
        <f>[11]STA_SP2_NO!$K$13</f>
        <v>0</v>
      </c>
      <c r="N7" s="249">
        <f t="shared" si="0"/>
        <v>5211.5499999999993</v>
      </c>
    </row>
    <row r="8" spans="1:14" ht="15.75" thickBot="1" x14ac:dyDescent="0.3">
      <c r="A8" s="32">
        <v>4</v>
      </c>
      <c r="B8" s="33" t="s">
        <v>41</v>
      </c>
      <c r="C8" s="117">
        <f>[1]STA_SP2_NO!$K$14</f>
        <v>33.68</v>
      </c>
      <c r="D8" s="68">
        <f>[2]STA_SP2_NO!$K$14</f>
        <v>0</v>
      </c>
      <c r="E8" s="117">
        <f>[3]STA_SP2_NO!$K$14</f>
        <v>0</v>
      </c>
      <c r="F8" s="388">
        <f>[4]STA_SP2_NO!$K$14</f>
        <v>75.209999999999994</v>
      </c>
      <c r="G8" s="385">
        <f>[5]STA_SP2_NO!$K$14</f>
        <v>36.22</v>
      </c>
      <c r="H8" s="126">
        <f>[6]STA_SP2_NO!$K$14</f>
        <v>42.45</v>
      </c>
      <c r="I8" s="143">
        <f>[7]STA_SP2_NO!$K$14</f>
        <v>92</v>
      </c>
      <c r="J8" s="126">
        <f>[8]STA_SP2_NO!$K$14</f>
        <v>147</v>
      </c>
      <c r="K8" s="143">
        <f>[9]STA_SP2_NO!$K$14</f>
        <v>0</v>
      </c>
      <c r="L8" s="379">
        <f>[10]STA_SP2_NO!$K$14</f>
        <v>0</v>
      </c>
      <c r="M8" s="386">
        <f>[11]STA_SP2_NO!$K$14</f>
        <v>0</v>
      </c>
      <c r="N8" s="249">
        <f t="shared" si="0"/>
        <v>426.56</v>
      </c>
    </row>
    <row r="9" spans="1:14" ht="15.75" thickBot="1" x14ac:dyDescent="0.3">
      <c r="A9" s="32">
        <v>5</v>
      </c>
      <c r="B9" s="33" t="s">
        <v>42</v>
      </c>
      <c r="C9" s="117">
        <f>[1]STA_SP2_NO!$K$15</f>
        <v>479.89</v>
      </c>
      <c r="D9" s="68">
        <f>[2]STA_SP2_NO!$K$15</f>
        <v>6.54</v>
      </c>
      <c r="E9" s="117">
        <f>[3]STA_SP2_NO!$K$15</f>
        <v>18</v>
      </c>
      <c r="F9" s="388">
        <f>[4]STA_SP2_NO!$K$15</f>
        <v>0.25</v>
      </c>
      <c r="G9" s="385">
        <f>[5]STA_SP2_NO!$K$15</f>
        <v>0</v>
      </c>
      <c r="H9" s="126">
        <f>[6]STA_SP2_NO!$K$15</f>
        <v>1010.74</v>
      </c>
      <c r="I9" s="143">
        <f>[7]STA_SP2_NO!$K$15</f>
        <v>0</v>
      </c>
      <c r="J9" s="126">
        <f>[8]STA_SP2_NO!$K$15</f>
        <v>221</v>
      </c>
      <c r="K9" s="143">
        <f>[9]STA_SP2_NO!$K$15</f>
        <v>0</v>
      </c>
      <c r="L9" s="379">
        <f>[10]STA_SP2_NO!$K$15</f>
        <v>15</v>
      </c>
      <c r="M9" s="386">
        <f>[11]STA_SP2_NO!$K$15</f>
        <v>0</v>
      </c>
      <c r="N9" s="249">
        <f t="shared" si="0"/>
        <v>1751.42</v>
      </c>
    </row>
    <row r="10" spans="1:14" ht="15.75" thickBot="1" x14ac:dyDescent="0.3">
      <c r="A10" s="32">
        <v>6</v>
      </c>
      <c r="B10" s="33" t="s">
        <v>43</v>
      </c>
      <c r="C10" s="117">
        <f>[1]STA_SP2_NO!$K$16</f>
        <v>1852.29</v>
      </c>
      <c r="D10" s="68">
        <f>[2]STA_SP2_NO!$K$16</f>
        <v>196.57</v>
      </c>
      <c r="E10" s="117">
        <f>[3]STA_SP2_NO!$K$16</f>
        <v>94</v>
      </c>
      <c r="F10" s="388">
        <f>[4]STA_SP2_NO!$K$16</f>
        <v>967</v>
      </c>
      <c r="G10" s="385">
        <f>[5]STA_SP2_NO!$K$16</f>
        <v>30.43</v>
      </c>
      <c r="H10" s="126">
        <f>[6]STA_SP2_NO!$K$16</f>
        <v>1108.22</v>
      </c>
      <c r="I10" s="143">
        <f>[7]STA_SP2_NO!$K$16</f>
        <v>1087</v>
      </c>
      <c r="J10" s="126">
        <f>[8]STA_SP2_NO!$K$16</f>
        <v>589</v>
      </c>
      <c r="K10" s="143">
        <f>[9]STA_SP2_NO!$K$16</f>
        <v>805</v>
      </c>
      <c r="L10" s="379">
        <f>[10]STA_SP2_NO!$K$16</f>
        <v>1276</v>
      </c>
      <c r="M10" s="386">
        <f>[11]STA_SP2_NO!$K$16</f>
        <v>0</v>
      </c>
      <c r="N10" s="249">
        <f t="shared" si="0"/>
        <v>8005.51</v>
      </c>
    </row>
    <row r="11" spans="1:14" ht="15.75" thickBot="1" x14ac:dyDescent="0.3">
      <c r="A11" s="32">
        <v>7</v>
      </c>
      <c r="B11" s="33" t="s">
        <v>44</v>
      </c>
      <c r="C11" s="117">
        <f>[1]STA_SP2_NO!$K$17</f>
        <v>0</v>
      </c>
      <c r="D11" s="68">
        <f>[2]STA_SP2_NO!$K$17</f>
        <v>0</v>
      </c>
      <c r="E11" s="117">
        <f>[3]STA_SP2_NO!$K$17</f>
        <v>0</v>
      </c>
      <c r="F11" s="388">
        <f>[4]STA_SP2_NO!$K$17</f>
        <v>0.48</v>
      </c>
      <c r="G11" s="385">
        <f>[5]STA_SP2_NO!$K$17</f>
        <v>0</v>
      </c>
      <c r="H11" s="126">
        <f>[6]STA_SP2_NO!$K$17</f>
        <v>174.97</v>
      </c>
      <c r="I11" s="143">
        <f>[7]STA_SP2_NO!$K$17</f>
        <v>62</v>
      </c>
      <c r="J11" s="126">
        <f>[8]STA_SP2_NO!$K$17</f>
        <v>0</v>
      </c>
      <c r="K11" s="143">
        <f>[9]STA_SP2_NO!$K$17</f>
        <v>268.07</v>
      </c>
      <c r="L11" s="379">
        <f>[10]STA_SP2_NO!$K$17</f>
        <v>0</v>
      </c>
      <c r="M11" s="386">
        <f>[11]STA_SP2_NO!$K$17</f>
        <v>0</v>
      </c>
      <c r="N11" s="249">
        <f t="shared" si="0"/>
        <v>505.52</v>
      </c>
    </row>
    <row r="12" spans="1:14" ht="15.75" thickBot="1" x14ac:dyDescent="0.3">
      <c r="A12" s="32">
        <v>8</v>
      </c>
      <c r="B12" s="33" t="s">
        <v>45</v>
      </c>
      <c r="C12" s="117">
        <f>[1]STA_SP2_NO!$K$18</f>
        <v>354.7</v>
      </c>
      <c r="D12" s="68">
        <f>[2]STA_SP2_NO!$K$18</f>
        <v>65.31</v>
      </c>
      <c r="E12" s="117">
        <f>[3]STA_SP2_NO!$K$18</f>
        <v>193</v>
      </c>
      <c r="F12" s="388">
        <f>[4]STA_SP2_NO!$K$18</f>
        <v>37.630000000000003</v>
      </c>
      <c r="G12" s="385">
        <f>[5]STA_SP2_NO!$K$18</f>
        <v>0</v>
      </c>
      <c r="H12" s="126">
        <f>[6]STA_SP2_NO!$K$18</f>
        <v>0</v>
      </c>
      <c r="I12" s="143">
        <f>[7]STA_SP2_NO!$K$18</f>
        <v>11</v>
      </c>
      <c r="J12" s="126">
        <f>[8]STA_SP2_NO!$K$18</f>
        <v>891</v>
      </c>
      <c r="K12" s="143">
        <f>[9]STA_SP2_NO!$K$18</f>
        <v>0</v>
      </c>
      <c r="L12" s="379">
        <f>[10]STA_SP2_NO!$K$18</f>
        <v>72</v>
      </c>
      <c r="M12" s="386">
        <f>[11]STA_SP2_NO!$K$18</f>
        <v>0</v>
      </c>
      <c r="N12" s="249">
        <f t="shared" si="0"/>
        <v>1624.6399999999999</v>
      </c>
    </row>
    <row r="13" spans="1:14" ht="23.25" thickBot="1" x14ac:dyDescent="0.3">
      <c r="A13" s="32">
        <v>9</v>
      </c>
      <c r="B13" s="53" t="s">
        <v>46</v>
      </c>
      <c r="C13" s="117">
        <f>[1]STA_SP2_NO!$K$19</f>
        <v>0</v>
      </c>
      <c r="D13" s="68">
        <f>[2]STA_SP2_NO!$K$19</f>
        <v>0</v>
      </c>
      <c r="E13" s="117">
        <f>[3]STA_SP2_NO!$K$19</f>
        <v>0</v>
      </c>
      <c r="F13" s="388">
        <f>[4]STA_SP2_NO!$K$19</f>
        <v>0</v>
      </c>
      <c r="G13" s="385">
        <f>[5]STA_SP2_NO!$K$19</f>
        <v>0</v>
      </c>
      <c r="H13" s="126">
        <f>[6]STA_SP2_NO!$K$19</f>
        <v>0</v>
      </c>
      <c r="I13" s="143">
        <f>[7]STA_SP2_NO!$K$19</f>
        <v>0</v>
      </c>
      <c r="J13" s="126">
        <f>[8]STA_SP2_NO!$K$19</f>
        <v>0</v>
      </c>
      <c r="K13" s="143">
        <f>[9]STA_SP2_NO!$K$19</f>
        <v>0</v>
      </c>
      <c r="L13" s="379">
        <f>[10]STA_SP2_NO!$K$19</f>
        <v>0</v>
      </c>
      <c r="M13" s="386">
        <f>[11]STA_SP2_NO!$K$19</f>
        <v>0</v>
      </c>
      <c r="N13" s="249">
        <f t="shared" si="0"/>
        <v>0</v>
      </c>
    </row>
    <row r="14" spans="1:14" ht="34.5" thickBot="1" x14ac:dyDescent="0.3">
      <c r="A14" s="32">
        <v>10</v>
      </c>
      <c r="B14" s="156" t="s">
        <v>47</v>
      </c>
      <c r="C14" s="117">
        <f>[1]STA_SP2_NO!$K$20</f>
        <v>0</v>
      </c>
      <c r="D14" s="68">
        <f>[2]STA_SP2_NO!$K$20</f>
        <v>0</v>
      </c>
      <c r="E14" s="117">
        <f>[3]STA_SP2_NO!$K$20</f>
        <v>0</v>
      </c>
      <c r="F14" s="388">
        <f>[4]STA_SP2_NO!$K$20</f>
        <v>0</v>
      </c>
      <c r="G14" s="385">
        <f>[5]STA_SP2_NO!$K$20</f>
        <v>0</v>
      </c>
      <c r="H14" s="126">
        <f>[6]STA_SP2_NO!$K$20</f>
        <v>0</v>
      </c>
      <c r="I14" s="143">
        <f>[7]STA_SP2_NO!$K$20</f>
        <v>0</v>
      </c>
      <c r="J14" s="126">
        <f>[8]STA_SP2_NO!$K$20</f>
        <v>0</v>
      </c>
      <c r="K14" s="143">
        <f>[9]STA_SP2_NO!$K$20</f>
        <v>0</v>
      </c>
      <c r="L14" s="379">
        <f>[10]STA_SP2_NO!$K$20</f>
        <v>0</v>
      </c>
      <c r="M14" s="386">
        <f>[11]STA_SP2_NO!$K$20</f>
        <v>0</v>
      </c>
      <c r="N14" s="249">
        <f t="shared" si="0"/>
        <v>0</v>
      </c>
    </row>
    <row r="15" spans="1:14" ht="15.75" thickBot="1" x14ac:dyDescent="0.3">
      <c r="A15" s="32">
        <v>11</v>
      </c>
      <c r="B15" s="33" t="s">
        <v>48</v>
      </c>
      <c r="C15" s="117">
        <f>[1]STA_SP2_NO!$K$21</f>
        <v>0</v>
      </c>
      <c r="D15" s="68">
        <f>[2]STA_SP2_NO!$K$21</f>
        <v>0</v>
      </c>
      <c r="E15" s="117">
        <f>[3]STA_SP2_NO!$K$21</f>
        <v>0</v>
      </c>
      <c r="F15" s="388">
        <f>[4]STA_SP2_NO!$K$21</f>
        <v>0</v>
      </c>
      <c r="G15" s="385">
        <f>[5]STA_SP2_NO!$K$21</f>
        <v>0</v>
      </c>
      <c r="H15" s="126">
        <f>[6]STA_SP2_NO!$K$21</f>
        <v>0</v>
      </c>
      <c r="I15" s="143">
        <f>[7]STA_SP2_NO!$K$21</f>
        <v>0</v>
      </c>
      <c r="J15" s="126">
        <f>[8]STA_SP2_NO!$K$21</f>
        <v>0</v>
      </c>
      <c r="K15" s="143">
        <f>[9]STA_SP2_NO!$K$21</f>
        <v>0</v>
      </c>
      <c r="L15" s="379">
        <f>[10]STA_SP2_NO!$K$21</f>
        <v>0</v>
      </c>
      <c r="M15" s="386">
        <f>[11]STA_SP2_NO!$K$21</f>
        <v>0</v>
      </c>
      <c r="N15" s="249">
        <f t="shared" si="0"/>
        <v>0</v>
      </c>
    </row>
    <row r="16" spans="1:14" ht="57" thickBot="1" x14ac:dyDescent="0.3">
      <c r="A16" s="32">
        <v>12</v>
      </c>
      <c r="B16" s="53" t="s">
        <v>49</v>
      </c>
      <c r="C16" s="117">
        <f>[1]STA_SP2_NO!$K$22</f>
        <v>0</v>
      </c>
      <c r="D16" s="68">
        <f>[2]STA_SP2_NO!$K$22</f>
        <v>0</v>
      </c>
      <c r="E16" s="117">
        <f>[3]STA_SP2_NO!$K$22</f>
        <v>0</v>
      </c>
      <c r="F16" s="388">
        <f>[4]STA_SP2_NO!$K$22</f>
        <v>0</v>
      </c>
      <c r="G16" s="385">
        <f>[5]STA_SP2_NO!$K$22</f>
        <v>0</v>
      </c>
      <c r="H16" s="126">
        <f>[6]STA_SP2_NO!$K$22</f>
        <v>0</v>
      </c>
      <c r="I16" s="143">
        <f>[7]STA_SP2_NO!$K$22</f>
        <v>0</v>
      </c>
      <c r="J16" s="126">
        <f>[8]STA_SP2_NO!$K$22</f>
        <v>0</v>
      </c>
      <c r="K16" s="143">
        <f>[9]STA_SP2_NO!$K$22</f>
        <v>0</v>
      </c>
      <c r="L16" s="379">
        <f>[10]STA_SP2_NO!$K$22</f>
        <v>0</v>
      </c>
      <c r="M16" s="386">
        <f>[11]STA_SP2_NO!$K$22</f>
        <v>0</v>
      </c>
      <c r="N16" s="249">
        <f t="shared" si="0"/>
        <v>0</v>
      </c>
    </row>
    <row r="17" spans="1:14" ht="34.5" thickBot="1" x14ac:dyDescent="0.3">
      <c r="A17" s="32">
        <v>13</v>
      </c>
      <c r="B17" s="53" t="s">
        <v>50</v>
      </c>
      <c r="C17" s="117">
        <f>[1]STA_SP2_NO!$K$23</f>
        <v>0</v>
      </c>
      <c r="D17" s="68">
        <f>[2]STA_SP2_NO!$K$23</f>
        <v>0</v>
      </c>
      <c r="E17" s="117">
        <f>[3]STA_SP2_NO!$K$23</f>
        <v>0</v>
      </c>
      <c r="F17" s="388">
        <f>[4]STA_SP2_NO!$K$23</f>
        <v>0</v>
      </c>
      <c r="G17" s="385">
        <f>[5]STA_SP2_NO!$K$23</f>
        <v>0</v>
      </c>
      <c r="H17" s="126">
        <f>[6]STA_SP2_NO!$K$23</f>
        <v>0</v>
      </c>
      <c r="I17" s="143">
        <f>[7]STA_SP2_NO!$K$23</f>
        <v>0</v>
      </c>
      <c r="J17" s="126">
        <f>[8]STA_SP2_NO!$K$23</f>
        <v>0</v>
      </c>
      <c r="K17" s="143">
        <f>[9]STA_SP2_NO!$K$23</f>
        <v>0</v>
      </c>
      <c r="L17" s="379">
        <f>[10]STA_SP2_NO!$K$23</f>
        <v>0</v>
      </c>
      <c r="M17" s="386">
        <f>[11]STA_SP2_NO!$K$23</f>
        <v>0</v>
      </c>
      <c r="N17" s="249">
        <f t="shared" si="0"/>
        <v>0</v>
      </c>
    </row>
    <row r="18" spans="1:14" ht="15.75" thickBot="1" x14ac:dyDescent="0.3">
      <c r="A18" s="36"/>
      <c r="B18" s="37" t="s">
        <v>36</v>
      </c>
      <c r="C18" s="41">
        <f t="shared" ref="C18:E18" si="1">SUM(C5:C17)</f>
        <v>78216.639999999985</v>
      </c>
      <c r="D18" s="42">
        <f>SUM(D5:D17)</f>
        <v>40433.199999999997</v>
      </c>
      <c r="E18" s="41">
        <f t="shared" si="1"/>
        <v>25395</v>
      </c>
      <c r="F18" s="39">
        <f t="shared" ref="F18:N18" si="2">SUM(F5:F17)</f>
        <v>50708.249999999993</v>
      </c>
      <c r="G18" s="40">
        <f t="shared" si="2"/>
        <v>39408.170000000006</v>
      </c>
      <c r="H18" s="39">
        <f t="shared" si="2"/>
        <v>50323.72</v>
      </c>
      <c r="I18" s="40">
        <f t="shared" si="2"/>
        <v>87731</v>
      </c>
      <c r="J18" s="51">
        <f t="shared" si="2"/>
        <v>39987.4</v>
      </c>
      <c r="K18" s="40">
        <f t="shared" si="2"/>
        <v>37754.340000000004</v>
      </c>
      <c r="L18" s="380">
        <f t="shared" si="2"/>
        <v>54238</v>
      </c>
      <c r="M18" s="333">
        <f t="shared" si="2"/>
        <v>4241.8100000000004</v>
      </c>
      <c r="N18" s="250">
        <f t="shared" si="2"/>
        <v>508437.53000000009</v>
      </c>
    </row>
    <row r="19" spans="1:14" ht="15.75" thickBot="1" x14ac:dyDescent="0.3">
      <c r="G19" s="341"/>
      <c r="H19" s="1"/>
      <c r="I19" s="341"/>
      <c r="J19" s="1"/>
      <c r="K19" s="341"/>
      <c r="L19" s="1"/>
      <c r="M19" s="341"/>
    </row>
    <row r="20" spans="1:14" ht="15.75" thickBot="1" x14ac:dyDescent="0.3">
      <c r="A20" s="542" t="s">
        <v>52</v>
      </c>
      <c r="B20" s="543"/>
      <c r="C20" s="55">
        <f>C18/N18</f>
        <v>0.15383726689097865</v>
      </c>
      <c r="D20" s="56">
        <f>D18/N18</f>
        <v>7.9524420630396803E-2</v>
      </c>
      <c r="E20" s="48">
        <f>E18/N18</f>
        <v>4.9947139032006538E-2</v>
      </c>
      <c r="F20" s="47">
        <f>F18/N18</f>
        <v>9.9733491349468212E-2</v>
      </c>
      <c r="G20" s="70">
        <f>G18/N18</f>
        <v>7.750838141315021E-2</v>
      </c>
      <c r="H20" s="47">
        <f>H18/N18</f>
        <v>9.8977193914068451E-2</v>
      </c>
      <c r="I20" s="70">
        <f>I18/N18</f>
        <v>0.17255020493864798</v>
      </c>
      <c r="J20" s="47">
        <f>J18/N18</f>
        <v>7.8647616748511853E-2</v>
      </c>
      <c r="K20" s="70">
        <f>K18/N18</f>
        <v>7.4255612090633819E-2</v>
      </c>
      <c r="L20" s="389">
        <f>L18/N18</f>
        <v>0.10667583881937273</v>
      </c>
      <c r="M20" s="342">
        <f>M18/N18</f>
        <v>8.3428341727645478E-3</v>
      </c>
      <c r="N20" s="258">
        <f>SUM(C20:M20)</f>
        <v>0.99999999999999967</v>
      </c>
    </row>
    <row r="21" spans="1:14" x14ac:dyDescent="0.25">
      <c r="K21" s="341"/>
    </row>
  </sheetData>
  <mergeCells count="17">
    <mergeCell ref="A20:B20"/>
    <mergeCell ref="C1:K1"/>
    <mergeCell ref="A2:A4"/>
    <mergeCell ref="B2:B4"/>
    <mergeCell ref="H3:H4"/>
    <mergeCell ref="I3:I4"/>
    <mergeCell ref="J3:J4"/>
    <mergeCell ref="K3:K4"/>
    <mergeCell ref="N2:N4"/>
    <mergeCell ref="C3:C4"/>
    <mergeCell ref="D3:D4"/>
    <mergeCell ref="E3:E4"/>
    <mergeCell ref="F3:F4"/>
    <mergeCell ref="G3:G4"/>
    <mergeCell ref="L3:L4"/>
    <mergeCell ref="C2:M2"/>
    <mergeCell ref="M3:M4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I35" sqref="I35"/>
    </sheetView>
  </sheetViews>
  <sheetFormatPr defaultRowHeight="15" x14ac:dyDescent="0.25"/>
  <cols>
    <col min="1" max="1" width="4" customWidth="1"/>
    <col min="2" max="2" width="21.5703125" customWidth="1"/>
  </cols>
  <sheetData>
    <row r="1" spans="1:15" ht="27.75" customHeight="1" thickBot="1" x14ac:dyDescent="0.3">
      <c r="A1" s="120"/>
      <c r="B1" s="26"/>
      <c r="C1" s="469" t="s">
        <v>112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52"/>
    </row>
    <row r="2" spans="1:15" ht="15.75" thickBot="1" x14ac:dyDescent="0.3">
      <c r="A2" s="472" t="s">
        <v>0</v>
      </c>
      <c r="B2" s="474" t="s">
        <v>1</v>
      </c>
      <c r="C2" s="494" t="s">
        <v>2</v>
      </c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9" t="s">
        <v>3</v>
      </c>
    </row>
    <row r="3" spans="1:15" x14ac:dyDescent="0.25">
      <c r="A3" s="512"/>
      <c r="B3" s="513"/>
      <c r="C3" s="519" t="s">
        <v>68</v>
      </c>
      <c r="D3" s="513" t="s">
        <v>4</v>
      </c>
      <c r="E3" s="523" t="s">
        <v>5</v>
      </c>
      <c r="F3" s="474" t="s">
        <v>6</v>
      </c>
      <c r="G3" s="506" t="s">
        <v>8</v>
      </c>
      <c r="H3" s="474" t="s">
        <v>93</v>
      </c>
      <c r="I3" s="506" t="s">
        <v>96</v>
      </c>
      <c r="J3" s="516" t="s">
        <v>9</v>
      </c>
      <c r="K3" s="506" t="s">
        <v>92</v>
      </c>
      <c r="L3" s="474" t="s">
        <v>10</v>
      </c>
      <c r="M3" s="535" t="s">
        <v>95</v>
      </c>
      <c r="N3" s="545"/>
    </row>
    <row r="4" spans="1:15" ht="15.75" thickBot="1" x14ac:dyDescent="0.3">
      <c r="A4" s="507"/>
      <c r="B4" s="514"/>
      <c r="C4" s="521"/>
      <c r="D4" s="507"/>
      <c r="E4" s="507"/>
      <c r="F4" s="507"/>
      <c r="G4" s="515"/>
      <c r="H4" s="475"/>
      <c r="I4" s="515"/>
      <c r="J4" s="517"/>
      <c r="K4" s="515"/>
      <c r="L4" s="475"/>
      <c r="M4" s="536"/>
      <c r="N4" s="546"/>
    </row>
    <row r="5" spans="1:15" x14ac:dyDescent="0.25">
      <c r="A5" s="30">
        <v>1</v>
      </c>
      <c r="B5" s="31" t="s">
        <v>38</v>
      </c>
      <c r="C5" s="62">
        <f>[1]STA_SP2_NO!$J$25</f>
        <v>18</v>
      </c>
      <c r="D5" s="118">
        <f>[2]STA_SP2_NO!$J$25</f>
        <v>8</v>
      </c>
      <c r="E5" s="61">
        <f>[3]STA_SP2_NO!$J$25</f>
        <v>11</v>
      </c>
      <c r="F5" s="118">
        <f>[4]STA_SP2_NO!$J$25</f>
        <v>22</v>
      </c>
      <c r="G5" s="143">
        <f>[5]STA_SP2_NO!$J$25</f>
        <v>6</v>
      </c>
      <c r="H5" s="118">
        <f>[6]STA_SP2_NO!$J$25</f>
        <v>34</v>
      </c>
      <c r="I5" s="143">
        <f>[7]STA_SP2_NO!$J$25</f>
        <v>22</v>
      </c>
      <c r="J5" s="118">
        <f>[8]STA_SP2_NO!$J$25</f>
        <v>6</v>
      </c>
      <c r="K5" s="143">
        <f>[9]STA_SP2_NO!$J$25</f>
        <v>12</v>
      </c>
      <c r="L5" s="387">
        <f>[10]STA_SP2_NO!$J$25</f>
        <v>21</v>
      </c>
      <c r="M5" s="394">
        <f>[11]STA_SP2_NO!$J$25</f>
        <v>2</v>
      </c>
      <c r="N5" s="401">
        <f t="shared" ref="N5:N12" si="0">SUM(C5:M5)</f>
        <v>162</v>
      </c>
    </row>
    <row r="6" spans="1:15" x14ac:dyDescent="0.25">
      <c r="A6" s="32">
        <v>2</v>
      </c>
      <c r="B6" s="33" t="s">
        <v>39</v>
      </c>
      <c r="C6" s="62">
        <f>[1]STA_SP2_NO!$J$26</f>
        <v>16</v>
      </c>
      <c r="D6" s="118">
        <f>[2]STA_SP2_NO!$J$26</f>
        <v>23</v>
      </c>
      <c r="E6" s="61">
        <f>[3]STA_SP2_NO!$J$26</f>
        <v>15</v>
      </c>
      <c r="F6" s="118">
        <f>[4]STA_SP2_NO!$J$26</f>
        <v>31</v>
      </c>
      <c r="G6" s="143">
        <f>[5]STA_SP2_NO!$J$26</f>
        <v>6</v>
      </c>
      <c r="H6" s="118">
        <f>[6]STA_SP2_NO!$J$26</f>
        <v>23</v>
      </c>
      <c r="I6" s="143">
        <f>[7]STA_SP2_NO!$J$26</f>
        <v>25</v>
      </c>
      <c r="J6" s="118">
        <f>[8]STA_SP2_NO!$J$26</f>
        <v>10</v>
      </c>
      <c r="K6" s="143">
        <f>[9]STA_SP2_NO!$J$26</f>
        <v>16</v>
      </c>
      <c r="L6" s="387">
        <f>[10]STA_SP2_NO!$J$26</f>
        <v>17</v>
      </c>
      <c r="M6" s="394">
        <f>[11]STA_SP2_NO!$J$26</f>
        <v>2</v>
      </c>
      <c r="N6" s="401">
        <f t="shared" si="0"/>
        <v>184</v>
      </c>
    </row>
    <row r="7" spans="1:15" x14ac:dyDescent="0.25">
      <c r="A7" s="32">
        <v>3</v>
      </c>
      <c r="B7" s="33" t="s">
        <v>40</v>
      </c>
      <c r="C7" s="62">
        <f>[1]STA_SP2_NO!$J$27</f>
        <v>2</v>
      </c>
      <c r="D7" s="118">
        <f>[2]STA_SP2_NO!$J$27</f>
        <v>1</v>
      </c>
      <c r="E7" s="61">
        <f>[3]STA_SP2_NO!$J$27</f>
        <v>2</v>
      </c>
      <c r="F7" s="118">
        <f>[4]STA_SP2_NO!$J$27</f>
        <v>6</v>
      </c>
      <c r="G7" s="143">
        <f>[5]STA_SP2_NO!$J$27</f>
        <v>0</v>
      </c>
      <c r="H7" s="118">
        <f>[6]STA_SP2_NO!$J$27</f>
        <v>2</v>
      </c>
      <c r="I7" s="143">
        <f>[7]STA_SP2_NO!$J$27</f>
        <v>1</v>
      </c>
      <c r="J7" s="118">
        <f>[8]STA_SP2_NO!$J$27</f>
        <v>0</v>
      </c>
      <c r="K7" s="143">
        <f>[9]STA_SP2_NO!$J$27</f>
        <v>2</v>
      </c>
      <c r="L7" s="387">
        <f>[10]STA_SP2_NO!$J$27</f>
        <v>1</v>
      </c>
      <c r="M7" s="394">
        <f>[11]STA_SP2_NO!$J$27</f>
        <v>0</v>
      </c>
      <c r="N7" s="401">
        <f t="shared" si="0"/>
        <v>17</v>
      </c>
    </row>
    <row r="8" spans="1:15" x14ac:dyDescent="0.25">
      <c r="A8" s="32">
        <v>4</v>
      </c>
      <c r="B8" s="33" t="s">
        <v>41</v>
      </c>
      <c r="C8" s="62">
        <f>[1]STA_SP2_NO!$J$28</f>
        <v>0</v>
      </c>
      <c r="D8" s="118">
        <f>[2]STA_SP2_NO!$J$28</f>
        <v>0</v>
      </c>
      <c r="E8" s="61">
        <f>[3]STA_SP2_NO!$J$28</f>
        <v>0</v>
      </c>
      <c r="F8" s="118">
        <f>[4]STA_SP2_NO!$J$28</f>
        <v>0</v>
      </c>
      <c r="G8" s="143">
        <f>[5]STA_SP2_NO!$J$28</f>
        <v>0</v>
      </c>
      <c r="H8" s="118">
        <f>[6]STA_SP2_NO!$J$28</f>
        <v>0</v>
      </c>
      <c r="I8" s="143">
        <f>[7]STA_SP2_NO!$J$28</f>
        <v>0</v>
      </c>
      <c r="J8" s="118">
        <f>[8]STA_SP2_NO!$J$28</f>
        <v>0</v>
      </c>
      <c r="K8" s="143">
        <f>[9]STA_SP2_NO!$J$28</f>
        <v>0</v>
      </c>
      <c r="L8" s="387">
        <f>[10]STA_SP2_NO!$J$28</f>
        <v>0</v>
      </c>
      <c r="M8" s="394">
        <f>[11]STA_SP2_NO!$J$28</f>
        <v>0</v>
      </c>
      <c r="N8" s="401">
        <f t="shared" si="0"/>
        <v>0</v>
      </c>
    </row>
    <row r="9" spans="1:15" x14ac:dyDescent="0.25">
      <c r="A9" s="32">
        <v>5</v>
      </c>
      <c r="B9" s="33" t="s">
        <v>42</v>
      </c>
      <c r="C9" s="62">
        <f>[1]STA_SP2_NO!$J$29</f>
        <v>0</v>
      </c>
      <c r="D9" s="118">
        <f>[2]STA_SP2_NO!$J$29</f>
        <v>0</v>
      </c>
      <c r="E9" s="61">
        <f>[3]STA_SP2_NO!$J$29</f>
        <v>0</v>
      </c>
      <c r="F9" s="118">
        <f>[4]STA_SP2_NO!$J$29</f>
        <v>0</v>
      </c>
      <c r="G9" s="143">
        <f>[5]STA_SP2_NO!$J$29</f>
        <v>0</v>
      </c>
      <c r="H9" s="118">
        <f>[6]STA_SP2_NO!$J$29</f>
        <v>0</v>
      </c>
      <c r="I9" s="143">
        <f>[7]STA_SP2_NO!$J$29</f>
        <v>0</v>
      </c>
      <c r="J9" s="118">
        <f>[8]STA_SP2_NO!$J$29</f>
        <v>0</v>
      </c>
      <c r="K9" s="143">
        <f>[9]STA_SP2_NO!$J$29</f>
        <v>0</v>
      </c>
      <c r="L9" s="387">
        <f>[10]STA_SP2_NO!$J$29</f>
        <v>0</v>
      </c>
      <c r="M9" s="394">
        <f>[11]STA_SP2_NO!$J$29</f>
        <v>0</v>
      </c>
      <c r="N9" s="401">
        <f t="shared" si="0"/>
        <v>0</v>
      </c>
    </row>
    <row r="10" spans="1:15" x14ac:dyDescent="0.25">
      <c r="A10" s="32">
        <v>6</v>
      </c>
      <c r="B10" s="33" t="s">
        <v>43</v>
      </c>
      <c r="C10" s="62">
        <f>[1]STA_SP2_NO!$J$30</f>
        <v>0</v>
      </c>
      <c r="D10" s="118">
        <f>[2]STA_SP2_NO!$J$30</f>
        <v>1</v>
      </c>
      <c r="E10" s="61">
        <f>[3]STA_SP2_NO!$J$30</f>
        <v>0</v>
      </c>
      <c r="F10" s="118">
        <f>[4]STA_SP2_NO!$J$30</f>
        <v>0</v>
      </c>
      <c r="G10" s="143">
        <f>[5]STA_SP2_NO!$J$30</f>
        <v>0</v>
      </c>
      <c r="H10" s="118">
        <f>[6]STA_SP2_NO!$J$30</f>
        <v>0</v>
      </c>
      <c r="I10" s="143">
        <f>[7]STA_SP2_NO!$J$30</f>
        <v>1</v>
      </c>
      <c r="J10" s="118">
        <f>[8]STA_SP2_NO!$J$30</f>
        <v>0</v>
      </c>
      <c r="K10" s="143">
        <f>[9]STA_SP2_NO!$J$30</f>
        <v>0</v>
      </c>
      <c r="L10" s="387">
        <f>[10]STA_SP2_NO!$J$30</f>
        <v>1</v>
      </c>
      <c r="M10" s="394">
        <f>[11]STA_SP2_NO!$J$30</f>
        <v>0</v>
      </c>
      <c r="N10" s="401">
        <f t="shared" si="0"/>
        <v>3</v>
      </c>
    </row>
    <row r="11" spans="1:15" x14ac:dyDescent="0.25">
      <c r="A11" s="32">
        <v>7</v>
      </c>
      <c r="B11" s="33" t="s">
        <v>44</v>
      </c>
      <c r="C11" s="62">
        <f>[1]STA_SP2_NO!$J$31</f>
        <v>1</v>
      </c>
      <c r="D11" s="118">
        <f>[2]STA_SP2_NO!$J$31</f>
        <v>3</v>
      </c>
      <c r="E11" s="61">
        <f>[3]STA_SP2_NO!$J$31</f>
        <v>0</v>
      </c>
      <c r="F11" s="118">
        <f>[4]STA_SP2_NO!$J$31</f>
        <v>1</v>
      </c>
      <c r="G11" s="143">
        <f>[5]STA_SP2_NO!$J$31</f>
        <v>0</v>
      </c>
      <c r="H11" s="118">
        <f>[6]STA_SP2_NO!$J$31</f>
        <v>2</v>
      </c>
      <c r="I11" s="143">
        <f>[7]STA_SP2_NO!$J$31</f>
        <v>2</v>
      </c>
      <c r="J11" s="118">
        <f>[8]STA_SP2_NO!$J$31</f>
        <v>1</v>
      </c>
      <c r="K11" s="143">
        <f>[9]STA_SP2_NO!$J$31</f>
        <v>2</v>
      </c>
      <c r="L11" s="387">
        <f>[10]STA_SP2_NO!$J$31</f>
        <v>0</v>
      </c>
      <c r="M11" s="394">
        <f>[11]STA_SP2_NO!$J$31</f>
        <v>0</v>
      </c>
      <c r="N11" s="401">
        <f t="shared" si="0"/>
        <v>12</v>
      </c>
    </row>
    <row r="12" spans="1:15" ht="15.75" thickBot="1" x14ac:dyDescent="0.3">
      <c r="A12" s="34">
        <v>8</v>
      </c>
      <c r="B12" s="35" t="s">
        <v>45</v>
      </c>
      <c r="C12" s="62">
        <f>[1]STA_SP2_NO!$J$32</f>
        <v>0</v>
      </c>
      <c r="D12" s="118">
        <f>[2]STA_SP2_NO!$J$32</f>
        <v>0</v>
      </c>
      <c r="E12" s="61">
        <f>[3]STA_SP2_NO!$J$32</f>
        <v>0</v>
      </c>
      <c r="F12" s="118">
        <f>[4]STA_SP2_NO!$J$32</f>
        <v>0</v>
      </c>
      <c r="G12" s="143">
        <f>[5]STA_SP2_NO!$J$32</f>
        <v>0</v>
      </c>
      <c r="H12" s="118">
        <f>[6]STA_SP2_NO!$J$32</f>
        <v>0</v>
      </c>
      <c r="I12" s="143">
        <f>[7]STA_SP2_NO!$J$32</f>
        <v>0</v>
      </c>
      <c r="J12" s="118">
        <f>[8]STA_SP2_NO!$J$32</f>
        <v>0</v>
      </c>
      <c r="K12" s="143">
        <f>[9]STA_SP2_NO!$J$32</f>
        <v>0</v>
      </c>
      <c r="L12" s="387">
        <f>[10]STA_SP2_NO!$J$32</f>
        <v>0</v>
      </c>
      <c r="M12" s="394">
        <f>[11]STA_SP2_NO!$J$32</f>
        <v>0</v>
      </c>
      <c r="N12" s="401">
        <f t="shared" si="0"/>
        <v>0</v>
      </c>
    </row>
    <row r="13" spans="1:15" ht="15.75" thickBot="1" x14ac:dyDescent="0.3">
      <c r="A13" s="36"/>
      <c r="B13" s="37" t="s">
        <v>53</v>
      </c>
      <c r="C13" s="41">
        <f t="shared" ref="C13:F13" si="1">SUM(C5:C12)</f>
        <v>37</v>
      </c>
      <c r="D13" s="39">
        <f t="shared" si="1"/>
        <v>36</v>
      </c>
      <c r="E13" s="41">
        <f t="shared" si="1"/>
        <v>28</v>
      </c>
      <c r="F13" s="39">
        <f t="shared" si="1"/>
        <v>60</v>
      </c>
      <c r="G13" s="40">
        <f t="shared" ref="G13:N13" si="2">SUM(G5:G12)</f>
        <v>12</v>
      </c>
      <c r="H13" s="39">
        <f t="shared" si="2"/>
        <v>61</v>
      </c>
      <c r="I13" s="40">
        <f t="shared" si="2"/>
        <v>51</v>
      </c>
      <c r="J13" s="39">
        <f t="shared" si="2"/>
        <v>17</v>
      </c>
      <c r="K13" s="40">
        <f t="shared" si="2"/>
        <v>32</v>
      </c>
      <c r="L13" s="380">
        <f t="shared" si="2"/>
        <v>40</v>
      </c>
      <c r="M13" s="400">
        <f t="shared" si="2"/>
        <v>4</v>
      </c>
      <c r="N13" s="234">
        <f t="shared" si="2"/>
        <v>378</v>
      </c>
    </row>
    <row r="14" spans="1:15" x14ac:dyDescent="0.25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1"/>
      <c r="O14" s="1"/>
    </row>
    <row r="15" spans="1:15" ht="15.75" thickBot="1" x14ac:dyDescent="0.3">
      <c r="A15" s="1"/>
      <c r="B15" s="1"/>
      <c r="C15" s="1"/>
      <c r="D15" s="1"/>
      <c r="E15" s="1"/>
      <c r="F15" s="1"/>
      <c r="G15" s="341"/>
      <c r="H15" s="1"/>
      <c r="I15" s="341"/>
      <c r="J15" s="1"/>
      <c r="K15" s="341"/>
      <c r="L15" s="1"/>
      <c r="M15" s="341"/>
      <c r="O15" s="1"/>
    </row>
    <row r="16" spans="1:15" ht="15.75" thickBot="1" x14ac:dyDescent="0.3">
      <c r="A16" s="547" t="s">
        <v>52</v>
      </c>
      <c r="B16" s="548"/>
      <c r="C16" s="55">
        <f>C13/N13</f>
        <v>9.7883597883597878E-2</v>
      </c>
      <c r="D16" s="56">
        <f>D13/N13</f>
        <v>9.5238095238095233E-2</v>
      </c>
      <c r="E16" s="48">
        <f>E13/N13</f>
        <v>7.407407407407407E-2</v>
      </c>
      <c r="F16" s="47">
        <f>F13/N13</f>
        <v>0.15873015873015872</v>
      </c>
      <c r="G16" s="70">
        <f>G13/N13</f>
        <v>3.1746031746031744E-2</v>
      </c>
      <c r="H16" s="47">
        <f>H13/N13</f>
        <v>0.16137566137566137</v>
      </c>
      <c r="I16" s="70">
        <f>I13/N13</f>
        <v>0.13492063492063491</v>
      </c>
      <c r="J16" s="47">
        <f>J13/N13</f>
        <v>4.4973544973544971E-2</v>
      </c>
      <c r="K16" s="70">
        <f>K13/N13</f>
        <v>8.4656084656084651E-2</v>
      </c>
      <c r="L16" s="47">
        <f>L13/N13</f>
        <v>0.10582010582010581</v>
      </c>
      <c r="M16" s="342">
        <f>M13/N13</f>
        <v>1.0582010582010581E-2</v>
      </c>
      <c r="N16" s="258">
        <f>SUM(C16:M16)</f>
        <v>1</v>
      </c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1"/>
      <c r="B18" s="26"/>
      <c r="C18" s="469" t="s">
        <v>113</v>
      </c>
      <c r="D18" s="470"/>
      <c r="E18" s="470"/>
      <c r="F18" s="470"/>
      <c r="G18" s="470"/>
      <c r="H18" s="470"/>
      <c r="I18" s="470"/>
      <c r="J18" s="471"/>
      <c r="K18" s="471"/>
      <c r="L18" s="26"/>
      <c r="M18" s="26"/>
      <c r="N18" s="155" t="s">
        <v>35</v>
      </c>
    </row>
    <row r="19" spans="1:15" ht="15.75" thickBot="1" x14ac:dyDescent="0.3">
      <c r="A19" s="472" t="s">
        <v>0</v>
      </c>
      <c r="B19" s="534" t="s">
        <v>1</v>
      </c>
      <c r="C19" s="494" t="s">
        <v>2</v>
      </c>
      <c r="D19" s="495"/>
      <c r="E19" s="495"/>
      <c r="F19" s="495"/>
      <c r="G19" s="495"/>
      <c r="H19" s="495"/>
      <c r="I19" s="495"/>
      <c r="J19" s="495"/>
      <c r="K19" s="495"/>
      <c r="L19" s="495"/>
      <c r="M19" s="496"/>
      <c r="N19" s="499" t="s">
        <v>3</v>
      </c>
    </row>
    <row r="20" spans="1:15" x14ac:dyDescent="0.25">
      <c r="A20" s="512"/>
      <c r="B20" s="513"/>
      <c r="C20" s="519" t="s">
        <v>68</v>
      </c>
      <c r="D20" s="513" t="s">
        <v>4</v>
      </c>
      <c r="E20" s="523" t="s">
        <v>5</v>
      </c>
      <c r="F20" s="474" t="s">
        <v>6</v>
      </c>
      <c r="G20" s="506" t="s">
        <v>8</v>
      </c>
      <c r="H20" s="474" t="s">
        <v>93</v>
      </c>
      <c r="I20" s="506" t="s">
        <v>96</v>
      </c>
      <c r="J20" s="516" t="s">
        <v>9</v>
      </c>
      <c r="K20" s="506" t="s">
        <v>92</v>
      </c>
      <c r="L20" s="474" t="s">
        <v>10</v>
      </c>
      <c r="M20" s="535" t="s">
        <v>95</v>
      </c>
      <c r="N20" s="545"/>
    </row>
    <row r="21" spans="1:15" ht="15.75" thickBot="1" x14ac:dyDescent="0.3">
      <c r="A21" s="507"/>
      <c r="B21" s="514"/>
      <c r="C21" s="521"/>
      <c r="D21" s="507"/>
      <c r="E21" s="507"/>
      <c r="F21" s="507"/>
      <c r="G21" s="515"/>
      <c r="H21" s="475"/>
      <c r="I21" s="515"/>
      <c r="J21" s="517"/>
      <c r="K21" s="515"/>
      <c r="L21" s="475"/>
      <c r="M21" s="536"/>
      <c r="N21" s="546"/>
    </row>
    <row r="22" spans="1:15" x14ac:dyDescent="0.25">
      <c r="A22" s="30">
        <v>1</v>
      </c>
      <c r="B22" s="31" t="s">
        <v>38</v>
      </c>
      <c r="C22" s="62">
        <f>[1]STA_SP2_NO!$K$25</f>
        <v>2824.58</v>
      </c>
      <c r="D22" s="118">
        <f>[2]STA_SP2_NO!$K$25</f>
        <v>1070.6199999999999</v>
      </c>
      <c r="E22" s="61">
        <f>[3]STA_SP2_NO!$K$25</f>
        <v>1598</v>
      </c>
      <c r="F22" s="118">
        <f>[4]STA_SP2_NO!$K$25</f>
        <v>1858.23</v>
      </c>
      <c r="G22" s="143">
        <f>[5]STA_SP2_NO!$K$25</f>
        <v>1111.9100000000001</v>
      </c>
      <c r="H22" s="118">
        <f>[6]STA_SP2_NO!$K$25</f>
        <v>6101.56</v>
      </c>
      <c r="I22" s="143">
        <f>[7]STA_SP2_NO!$K$25</f>
        <v>7995</v>
      </c>
      <c r="J22" s="118">
        <f>[8]STA_SP2_NO!$K$25</f>
        <v>737</v>
      </c>
      <c r="K22" s="143">
        <f>[9]STA_SP2_NO!$K$25</f>
        <v>3016.28</v>
      </c>
      <c r="L22" s="387">
        <f>[10]STA_SP2_NO!$K$25</f>
        <v>8239</v>
      </c>
      <c r="M22" s="394">
        <f>[11]STA_SP2_NO!$K$25</f>
        <v>248.65</v>
      </c>
      <c r="N22" s="397">
        <f t="shared" ref="N22:N29" si="3">SUM(C22:M22)</f>
        <v>34800.83</v>
      </c>
    </row>
    <row r="23" spans="1:15" x14ac:dyDescent="0.25">
      <c r="A23" s="32">
        <v>2</v>
      </c>
      <c r="B23" s="33" t="s">
        <v>39</v>
      </c>
      <c r="C23" s="62">
        <f>[1]STA_SP2_NO!$K$26</f>
        <v>4827.97</v>
      </c>
      <c r="D23" s="118">
        <f>[2]STA_SP2_NO!$K$26</f>
        <v>6103.99</v>
      </c>
      <c r="E23" s="61">
        <f>[3]STA_SP2_NO!$K$26</f>
        <v>3868</v>
      </c>
      <c r="F23" s="118">
        <f>[4]STA_SP2_NO!$K$26</f>
        <v>4729.2700000000004</v>
      </c>
      <c r="G23" s="143">
        <f>[5]STA_SP2_NO!$K$26</f>
        <v>547.29</v>
      </c>
      <c r="H23" s="118">
        <f>[6]STA_SP2_NO!$K$26</f>
        <v>3603.64</v>
      </c>
      <c r="I23" s="143">
        <f>[7]STA_SP2_NO!$K$26</f>
        <v>12163</v>
      </c>
      <c r="J23" s="118">
        <f>[8]STA_SP2_NO!$K$26</f>
        <v>1707</v>
      </c>
      <c r="K23" s="143">
        <f>[9]STA_SP2_NO!$K$26</f>
        <v>6724.71</v>
      </c>
      <c r="L23" s="387">
        <f>[10]STA_SP2_NO!$K$26</f>
        <v>3081</v>
      </c>
      <c r="M23" s="394">
        <f>[11]STA_SP2_NO!$K$26</f>
        <v>107.09</v>
      </c>
      <c r="N23" s="397">
        <f t="shared" si="3"/>
        <v>47462.96</v>
      </c>
    </row>
    <row r="24" spans="1:15" x14ac:dyDescent="0.25">
      <c r="A24" s="32">
        <v>3</v>
      </c>
      <c r="B24" s="33" t="s">
        <v>40</v>
      </c>
      <c r="C24" s="62">
        <f>[1]STA_SP2_NO!$K$27</f>
        <v>263.85000000000002</v>
      </c>
      <c r="D24" s="118">
        <f>[2]STA_SP2_NO!$K$27</f>
        <v>254.82</v>
      </c>
      <c r="E24" s="61">
        <f>[3]STA_SP2_NO!$K$27</f>
        <v>178</v>
      </c>
      <c r="F24" s="118">
        <f>[4]STA_SP2_NO!$K$27</f>
        <v>940.86</v>
      </c>
      <c r="G24" s="143">
        <f>[5]STA_SP2_NO!$K$27</f>
        <v>0</v>
      </c>
      <c r="H24" s="118">
        <f>[6]STA_SP2_NO!$K$27</f>
        <v>435.95</v>
      </c>
      <c r="I24" s="143">
        <f>[7]STA_SP2_NO!$K$27</f>
        <v>238</v>
      </c>
      <c r="J24" s="118">
        <f>[8]STA_SP2_NO!$K$27</f>
        <v>0</v>
      </c>
      <c r="K24" s="143">
        <f>[9]STA_SP2_NO!$K$27</f>
        <v>117.34</v>
      </c>
      <c r="L24" s="387">
        <f>[10]STA_SP2_NO!$K$27</f>
        <v>254</v>
      </c>
      <c r="M24" s="394">
        <f>[11]STA_SP2_NO!$K$27</f>
        <v>0</v>
      </c>
      <c r="N24" s="397">
        <f t="shared" si="3"/>
        <v>2682.82</v>
      </c>
    </row>
    <row r="25" spans="1:15" x14ac:dyDescent="0.25">
      <c r="A25" s="32">
        <v>4</v>
      </c>
      <c r="B25" s="33" t="s">
        <v>41</v>
      </c>
      <c r="C25" s="62">
        <f>[1]STA_SP2_NO!$K$28</f>
        <v>0</v>
      </c>
      <c r="D25" s="118">
        <f>[2]STA_SP2_NO!$K$28</f>
        <v>0</v>
      </c>
      <c r="E25" s="61">
        <f>[3]STA_SP2_NO!$K$28</f>
        <v>0</v>
      </c>
      <c r="F25" s="118">
        <f>[4]STA_SP2_NO!$K$28</f>
        <v>0</v>
      </c>
      <c r="G25" s="143">
        <f>[5]STA_SP2_NO!$K$28</f>
        <v>0</v>
      </c>
      <c r="H25" s="118">
        <f>[6]STA_SP2_NO!$K$28</f>
        <v>0</v>
      </c>
      <c r="I25" s="143">
        <f>[7]STA_SP2_NO!$K$28</f>
        <v>0</v>
      </c>
      <c r="J25" s="118">
        <f>[8]STA_SP2_NO!$K$28</f>
        <v>0</v>
      </c>
      <c r="K25" s="143">
        <f>[9]STA_SP2_NO!$K$28</f>
        <v>0</v>
      </c>
      <c r="L25" s="387">
        <f>[10]STA_SP2_NO!$K$28</f>
        <v>0</v>
      </c>
      <c r="M25" s="394">
        <f>[11]STA_SP2_NO!$K$28</f>
        <v>0</v>
      </c>
      <c r="N25" s="397">
        <f t="shared" si="3"/>
        <v>0</v>
      </c>
    </row>
    <row r="26" spans="1:15" x14ac:dyDescent="0.25">
      <c r="A26" s="32">
        <v>5</v>
      </c>
      <c r="B26" s="33" t="s">
        <v>42</v>
      </c>
      <c r="C26" s="62">
        <f>[1]STA_SP2_NO!$K$29</f>
        <v>0</v>
      </c>
      <c r="D26" s="118">
        <f>[2]STA_SP2_NO!$K$29</f>
        <v>0</v>
      </c>
      <c r="E26" s="61">
        <f>[3]STA_SP2_NO!$K$29</f>
        <v>0</v>
      </c>
      <c r="F26" s="118">
        <f>[4]STA_SP2_NO!$K$29</f>
        <v>0</v>
      </c>
      <c r="G26" s="143">
        <f>[5]STA_SP2_NO!$K$29</f>
        <v>0</v>
      </c>
      <c r="H26" s="118">
        <f>[6]STA_SP2_NO!$K$29</f>
        <v>0</v>
      </c>
      <c r="I26" s="143">
        <f>[7]STA_SP2_NO!$K$29</f>
        <v>0</v>
      </c>
      <c r="J26" s="118">
        <f>[8]STA_SP2_NO!$K$29</f>
        <v>0</v>
      </c>
      <c r="K26" s="143">
        <f>[9]STA_SP2_NO!$K$29</f>
        <v>0</v>
      </c>
      <c r="L26" s="387">
        <f>[10]STA_SP2_NO!$K$29</f>
        <v>0</v>
      </c>
      <c r="M26" s="394">
        <f>[11]STA_SP2_NO!$K$29</f>
        <v>0</v>
      </c>
      <c r="N26" s="397">
        <f t="shared" si="3"/>
        <v>0</v>
      </c>
    </row>
    <row r="27" spans="1:15" x14ac:dyDescent="0.25">
      <c r="A27" s="32">
        <v>6</v>
      </c>
      <c r="B27" s="33" t="s">
        <v>43</v>
      </c>
      <c r="C27" s="62">
        <f>[1]STA_SP2_NO!$K$30</f>
        <v>0</v>
      </c>
      <c r="D27" s="118">
        <f>[2]STA_SP2_NO!$K$30</f>
        <v>830</v>
      </c>
      <c r="E27" s="61">
        <f>[3]STA_SP2_NO!$K$30</f>
        <v>0</v>
      </c>
      <c r="F27" s="118">
        <f>[4]STA_SP2_NO!$K$30</f>
        <v>0</v>
      </c>
      <c r="G27" s="143">
        <f>[5]STA_SP2_NO!$K$30</f>
        <v>0</v>
      </c>
      <c r="H27" s="118">
        <f>[6]STA_SP2_NO!$K$30</f>
        <v>0</v>
      </c>
      <c r="I27" s="143">
        <f>[7]STA_SP2_NO!$K$30</f>
        <v>232</v>
      </c>
      <c r="J27" s="118">
        <f>[8]STA_SP2_NO!$K$30</f>
        <v>0</v>
      </c>
      <c r="K27" s="143">
        <f>[9]STA_SP2_NO!$K$30</f>
        <v>0</v>
      </c>
      <c r="L27" s="387">
        <f>[10]STA_SP2_NO!$K$30</f>
        <v>12</v>
      </c>
      <c r="M27" s="394">
        <f>[11]STA_SP2_NO!$K$30</f>
        <v>0</v>
      </c>
      <c r="N27" s="397">
        <f t="shared" si="3"/>
        <v>1074</v>
      </c>
    </row>
    <row r="28" spans="1:15" x14ac:dyDescent="0.25">
      <c r="A28" s="32">
        <v>7</v>
      </c>
      <c r="B28" s="33" t="s">
        <v>44</v>
      </c>
      <c r="C28" s="62">
        <f>[1]STA_SP2_NO!$K$31</f>
        <v>12.98</v>
      </c>
      <c r="D28" s="118">
        <f>[2]STA_SP2_NO!$K$31</f>
        <v>734.61</v>
      </c>
      <c r="E28" s="61">
        <f>[3]STA_SP2_NO!$K$31</f>
        <v>0</v>
      </c>
      <c r="F28" s="118">
        <f>[4]STA_SP2_NO!$K$31</f>
        <v>66.31</v>
      </c>
      <c r="G28" s="143">
        <f>[5]STA_SP2_NO!$K$31</f>
        <v>0</v>
      </c>
      <c r="H28" s="118">
        <f>[6]STA_SP2_NO!$K$31</f>
        <v>127.65</v>
      </c>
      <c r="I28" s="143">
        <f>[7]STA_SP2_NO!$K$31</f>
        <v>206</v>
      </c>
      <c r="J28" s="118">
        <f>[8]STA_SP2_NO!$K$31</f>
        <v>16</v>
      </c>
      <c r="K28" s="143">
        <f>[9]STA_SP2_NO!$K$31</f>
        <v>111.46</v>
      </c>
      <c r="L28" s="387">
        <f>[10]STA_SP2_NO!$K$31</f>
        <v>0</v>
      </c>
      <c r="M28" s="394">
        <f>[11]STA_SP2_NO!$K$31</f>
        <v>0</v>
      </c>
      <c r="N28" s="397">
        <f t="shared" si="3"/>
        <v>1275.0100000000002</v>
      </c>
    </row>
    <row r="29" spans="1:15" ht="15.75" thickBot="1" x14ac:dyDescent="0.3">
      <c r="A29" s="34">
        <v>8</v>
      </c>
      <c r="B29" s="35" t="s">
        <v>45</v>
      </c>
      <c r="C29" s="62">
        <f>[1]STA_SP2_NO!$K$32</f>
        <v>0</v>
      </c>
      <c r="D29" s="118">
        <f>[2]STA_SP2_NO!$K$32</f>
        <v>0</v>
      </c>
      <c r="E29" s="61">
        <f>[3]STA_SP2_NO!$K$32</f>
        <v>0</v>
      </c>
      <c r="F29" s="118">
        <f>[4]STA_SP2_NO!$K$32</f>
        <v>0</v>
      </c>
      <c r="G29" s="143">
        <f>[5]STA_SP2_NO!$K$32</f>
        <v>0</v>
      </c>
      <c r="H29" s="118">
        <f>[6]STA_SP2_NO!$K$32</f>
        <v>0</v>
      </c>
      <c r="I29" s="143">
        <f>[7]STA_SP2_NO!$K$32</f>
        <v>0</v>
      </c>
      <c r="J29" s="118">
        <f>[8]STA_SP2_NO!$K$32</f>
        <v>0</v>
      </c>
      <c r="K29" s="143">
        <f>[9]STA_SP2_NO!$K$32</f>
        <v>0</v>
      </c>
      <c r="L29" s="387">
        <f>[10]STA_SP2_NO!$K$32</f>
        <v>0</v>
      </c>
      <c r="M29" s="394">
        <f>[11]STA_SP2_NO!$K$32</f>
        <v>0</v>
      </c>
      <c r="N29" s="397">
        <f t="shared" si="3"/>
        <v>0</v>
      </c>
    </row>
    <row r="30" spans="1:15" ht="15.75" thickBot="1" x14ac:dyDescent="0.3">
      <c r="A30" s="57"/>
      <c r="B30" s="37" t="s">
        <v>3</v>
      </c>
      <c r="C30" s="122">
        <f>SUM(C22:C28)</f>
        <v>7929.38</v>
      </c>
      <c r="D30" s="51">
        <f t="shared" ref="D30:E30" si="4">SUM(D22:D29)</f>
        <v>8994.0400000000009</v>
      </c>
      <c r="E30" s="41">
        <f t="shared" si="4"/>
        <v>5644</v>
      </c>
      <c r="F30" s="51">
        <f t="shared" ref="F30:M30" si="5">SUM(F22:F29)</f>
        <v>7594.67</v>
      </c>
      <c r="G30" s="40">
        <f t="shared" si="5"/>
        <v>1659.2</v>
      </c>
      <c r="H30" s="39">
        <f t="shared" si="5"/>
        <v>10268.800000000001</v>
      </c>
      <c r="I30" s="40">
        <f t="shared" si="5"/>
        <v>20834</v>
      </c>
      <c r="J30" s="39">
        <f t="shared" si="5"/>
        <v>2460</v>
      </c>
      <c r="K30" s="40">
        <f t="shared" si="5"/>
        <v>9969.7899999999991</v>
      </c>
      <c r="L30" s="338">
        <f t="shared" si="5"/>
        <v>11586</v>
      </c>
      <c r="M30" s="396">
        <f t="shared" si="5"/>
        <v>355.74</v>
      </c>
      <c r="N30" s="234">
        <f>SUM(C30:M30)</f>
        <v>87295.62000000001</v>
      </c>
    </row>
    <row r="31" spans="1:15" ht="15.75" thickBot="1" x14ac:dyDescent="0.3">
      <c r="A31" s="1"/>
      <c r="B31" s="1"/>
      <c r="C31" s="1"/>
      <c r="D31" s="1"/>
      <c r="E31" s="1"/>
      <c r="F31" s="1"/>
      <c r="G31" s="341"/>
      <c r="H31" s="1"/>
      <c r="I31" s="341"/>
      <c r="J31" s="1"/>
      <c r="K31" s="341"/>
      <c r="L31" s="1"/>
      <c r="M31" s="348"/>
      <c r="N31" s="1"/>
    </row>
    <row r="32" spans="1:15" ht="15.75" thickBot="1" x14ac:dyDescent="0.3">
      <c r="A32" s="549" t="s">
        <v>52</v>
      </c>
      <c r="B32" s="550"/>
      <c r="C32" s="72">
        <f>C30/N30</f>
        <v>9.0833652364230869E-2</v>
      </c>
      <c r="D32" s="71">
        <f>D30/N30</f>
        <v>0.10302968235977933</v>
      </c>
      <c r="E32" s="72">
        <f>E30/N30</f>
        <v>6.4653873814058474E-2</v>
      </c>
      <c r="F32" s="47">
        <f>F30/N30</f>
        <v>8.6999439376225285E-2</v>
      </c>
      <c r="G32" s="48">
        <f>G30/N30</f>
        <v>1.9006680976662974E-2</v>
      </c>
      <c r="H32" s="398">
        <f>H30/N30</f>
        <v>0.11763247686424588</v>
      </c>
      <c r="I32" s="48">
        <f>I30/N30</f>
        <v>0.23866031308329097</v>
      </c>
      <c r="J32" s="398">
        <f>J30/N30</f>
        <v>2.8180108005418824E-2</v>
      </c>
      <c r="K32" s="48">
        <f>K30/N30</f>
        <v>0.11420721910217257</v>
      </c>
      <c r="L32" s="399">
        <f>L30/N30</f>
        <v>0.13272143550844817</v>
      </c>
      <c r="M32" s="342">
        <f>M30/N30</f>
        <v>4.0751185454665417E-3</v>
      </c>
      <c r="N32" s="258">
        <f>SUM(C32:M32)</f>
        <v>0.99999999999999978</v>
      </c>
    </row>
  </sheetData>
  <mergeCells count="34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  <mergeCell ref="A16:B16"/>
    <mergeCell ref="C1:K1"/>
    <mergeCell ref="A2:A4"/>
    <mergeCell ref="B2:B4"/>
    <mergeCell ref="H3:H4"/>
    <mergeCell ref="I3:I4"/>
    <mergeCell ref="J3:J4"/>
    <mergeCell ref="K3:K4"/>
    <mergeCell ref="C2:M2"/>
    <mergeCell ref="N19:N21"/>
    <mergeCell ref="C20:C21"/>
    <mergeCell ref="D20:D21"/>
    <mergeCell ref="E20:E21"/>
    <mergeCell ref="N2:N4"/>
    <mergeCell ref="C3:C4"/>
    <mergeCell ref="D3:D4"/>
    <mergeCell ref="E3:E4"/>
    <mergeCell ref="F3:F4"/>
    <mergeCell ref="G3:G4"/>
    <mergeCell ref="L3:L4"/>
    <mergeCell ref="K20:K21"/>
    <mergeCell ref="L20:L21"/>
    <mergeCell ref="M3:M4"/>
    <mergeCell ref="M20:M21"/>
  </mergeCells>
  <pageMargins left="0.25" right="0.25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J34" sqref="J34"/>
    </sheetView>
  </sheetViews>
  <sheetFormatPr defaultRowHeight="15" x14ac:dyDescent="0.25"/>
  <cols>
    <col min="1" max="1" width="3.7109375" style="1" customWidth="1"/>
    <col min="2" max="2" width="22.5703125" customWidth="1"/>
  </cols>
  <sheetData>
    <row r="1" spans="1:15" ht="30" customHeight="1" thickBot="1" x14ac:dyDescent="0.3">
      <c r="B1" s="26"/>
      <c r="C1" s="469" t="s">
        <v>114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52"/>
    </row>
    <row r="2" spans="1:15" ht="15.75" thickBot="1" x14ac:dyDescent="0.3">
      <c r="A2" s="472" t="s">
        <v>0</v>
      </c>
      <c r="B2" s="474" t="s">
        <v>1</v>
      </c>
      <c r="C2" s="494" t="s">
        <v>2</v>
      </c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9" t="s">
        <v>3</v>
      </c>
    </row>
    <row r="3" spans="1:15" x14ac:dyDescent="0.25">
      <c r="A3" s="512"/>
      <c r="B3" s="513"/>
      <c r="C3" s="519" t="s">
        <v>68</v>
      </c>
      <c r="D3" s="513" t="s">
        <v>4</v>
      </c>
      <c r="E3" s="523" t="s">
        <v>5</v>
      </c>
      <c r="F3" s="474" t="s">
        <v>6</v>
      </c>
      <c r="G3" s="508" t="s">
        <v>8</v>
      </c>
      <c r="H3" s="474" t="s">
        <v>93</v>
      </c>
      <c r="I3" s="506" t="s">
        <v>96</v>
      </c>
      <c r="J3" s="516" t="s">
        <v>9</v>
      </c>
      <c r="K3" s="506" t="s">
        <v>92</v>
      </c>
      <c r="L3" s="474" t="s">
        <v>10</v>
      </c>
      <c r="M3" s="535" t="s">
        <v>95</v>
      </c>
      <c r="N3" s="545"/>
    </row>
    <row r="4" spans="1:15" ht="15.75" thickBot="1" x14ac:dyDescent="0.3">
      <c r="A4" s="507"/>
      <c r="B4" s="514"/>
      <c r="C4" s="521"/>
      <c r="D4" s="507"/>
      <c r="E4" s="507"/>
      <c r="F4" s="507"/>
      <c r="G4" s="509"/>
      <c r="H4" s="475"/>
      <c r="I4" s="515"/>
      <c r="J4" s="517"/>
      <c r="K4" s="515"/>
      <c r="L4" s="475"/>
      <c r="M4" s="536"/>
      <c r="N4" s="546"/>
    </row>
    <row r="5" spans="1:15" x14ac:dyDescent="0.25">
      <c r="A5" s="30">
        <v>1</v>
      </c>
      <c r="B5" s="31" t="s">
        <v>38</v>
      </c>
      <c r="C5" s="62">
        <f>[1]STA_SP2_NO!$J$34</f>
        <v>5</v>
      </c>
      <c r="D5" s="118">
        <f>[2]STA_SP2_NO!$J$34</f>
        <v>0</v>
      </c>
      <c r="E5" s="61">
        <f>[3]STA_SP2_NO!$J$34</f>
        <v>0</v>
      </c>
      <c r="F5" s="118">
        <f>[4]STA_SP2_NO!$J$34</f>
        <v>0</v>
      </c>
      <c r="G5" s="143">
        <f>[5]STA_SP2_NO!$J$34</f>
        <v>0</v>
      </c>
      <c r="H5" s="118">
        <f>[6]STA_SP2_NO!$J$34</f>
        <v>0</v>
      </c>
      <c r="I5" s="143">
        <f>[7]STA_SP2_NO!$J$34</f>
        <v>0</v>
      </c>
      <c r="J5" s="118">
        <f>[8]STA_SP2_NO!$J$34</f>
        <v>1</v>
      </c>
      <c r="K5" s="143">
        <f>[9]STA_SP2_NO!$J$34</f>
        <v>0</v>
      </c>
      <c r="L5" s="387">
        <f>[10]STA_SP2_NO!$J$34</f>
        <v>0</v>
      </c>
      <c r="M5" s="394">
        <f>[11]STA_SP2_NO!$J$34</f>
        <v>0</v>
      </c>
      <c r="N5" s="397">
        <f t="shared" ref="N5:N12" si="0">SUM(C5:M5)</f>
        <v>6</v>
      </c>
    </row>
    <row r="6" spans="1:15" x14ac:dyDescent="0.25">
      <c r="A6" s="32">
        <v>2</v>
      </c>
      <c r="B6" s="33" t="s">
        <v>39</v>
      </c>
      <c r="C6" s="62">
        <f>[1]STA_SP2_NO!$J$35</f>
        <v>0</v>
      </c>
      <c r="D6" s="118">
        <f>[2]STA_SP2_NO!$J$35</f>
        <v>0</v>
      </c>
      <c r="E6" s="61">
        <f>[3]STA_SP2_NO!$J$35</f>
        <v>1</v>
      </c>
      <c r="F6" s="118">
        <f>[4]STA_SP2_NO!$J$35</f>
        <v>0</v>
      </c>
      <c r="G6" s="143">
        <f>[5]STA_SP2_NO!$J$35</f>
        <v>0</v>
      </c>
      <c r="H6" s="118">
        <f>[6]STA_SP2_NO!$J$35</f>
        <v>0</v>
      </c>
      <c r="I6" s="143">
        <f>[7]STA_SP2_NO!$J$35</f>
        <v>0</v>
      </c>
      <c r="J6" s="118">
        <f>[8]STA_SP2_NO!$J$35</f>
        <v>0</v>
      </c>
      <c r="K6" s="143">
        <f>[9]STA_SP2_NO!$J$35</f>
        <v>0</v>
      </c>
      <c r="L6" s="387">
        <f>[10]STA_SP2_NO!$J$35</f>
        <v>0</v>
      </c>
      <c r="M6" s="394">
        <f>[11]STA_SP2_NO!$J$35</f>
        <v>0</v>
      </c>
      <c r="N6" s="397">
        <f t="shared" si="0"/>
        <v>1</v>
      </c>
    </row>
    <row r="7" spans="1:15" x14ac:dyDescent="0.25">
      <c r="A7" s="32">
        <v>3</v>
      </c>
      <c r="B7" s="33" t="s">
        <v>40</v>
      </c>
      <c r="C7" s="62">
        <f>[1]STA_SP2_NO!$J$36</f>
        <v>0</v>
      </c>
      <c r="D7" s="118">
        <f>[2]STA_SP2_NO!$J$36</f>
        <v>0</v>
      </c>
      <c r="E7" s="61">
        <f>[3]STA_SP2_NO!$J$36</f>
        <v>0</v>
      </c>
      <c r="F7" s="118">
        <f>[4]STA_SP2_NO!$J$36</f>
        <v>0</v>
      </c>
      <c r="G7" s="143">
        <f>[5]STA_SP2_NO!$J$36</f>
        <v>0</v>
      </c>
      <c r="H7" s="118">
        <f>[6]STA_SP2_NO!$J$36</f>
        <v>0</v>
      </c>
      <c r="I7" s="143">
        <f>[7]STA_SP2_NO!$J$36</f>
        <v>0</v>
      </c>
      <c r="J7" s="118">
        <f>[8]STA_SP2_NO!$J$36</f>
        <v>0</v>
      </c>
      <c r="K7" s="143">
        <f>[9]STA_SP2_NO!$J$36</f>
        <v>0</v>
      </c>
      <c r="L7" s="387">
        <f>[10]STA_SP2_NO!$J$36</f>
        <v>0</v>
      </c>
      <c r="M7" s="394">
        <f>[11]STA_SP2_NO!$J$36</f>
        <v>0</v>
      </c>
      <c r="N7" s="397">
        <f t="shared" si="0"/>
        <v>0</v>
      </c>
    </row>
    <row r="8" spans="1:15" x14ac:dyDescent="0.25">
      <c r="A8" s="32">
        <v>4</v>
      </c>
      <c r="B8" s="33" t="s">
        <v>41</v>
      </c>
      <c r="C8" s="62">
        <f>[1]STA_SP2_NO!$J$37</f>
        <v>0</v>
      </c>
      <c r="D8" s="118">
        <f>[2]STA_SP2_NO!$J$37</f>
        <v>0</v>
      </c>
      <c r="E8" s="61">
        <f>[3]STA_SP2_NO!$J$37</f>
        <v>0</v>
      </c>
      <c r="F8" s="118">
        <f>[4]STA_SP2_NO!$J$37</f>
        <v>0</v>
      </c>
      <c r="G8" s="143">
        <f>[5]STA_SP2_NO!$J$37</f>
        <v>0</v>
      </c>
      <c r="H8" s="118">
        <f>[6]STA_SP2_NO!$J$37</f>
        <v>0</v>
      </c>
      <c r="I8" s="143">
        <f>[7]STA_SP2_NO!$J$37</f>
        <v>0</v>
      </c>
      <c r="J8" s="118">
        <f>[8]STA_SP2_NO!$J$37</f>
        <v>0</v>
      </c>
      <c r="K8" s="143">
        <f>[9]STA_SP2_NO!$J$37</f>
        <v>0</v>
      </c>
      <c r="L8" s="387">
        <f>[10]STA_SP2_NO!$J$37</f>
        <v>0</v>
      </c>
      <c r="M8" s="394">
        <f>[11]STA_SP2_NO!$J$37</f>
        <v>0</v>
      </c>
      <c r="N8" s="397">
        <f t="shared" si="0"/>
        <v>0</v>
      </c>
    </row>
    <row r="9" spans="1:15" x14ac:dyDescent="0.25">
      <c r="A9" s="32">
        <v>5</v>
      </c>
      <c r="B9" s="33" t="s">
        <v>42</v>
      </c>
      <c r="C9" s="62">
        <f>[1]STA_SP2_NO!$J$38</f>
        <v>0</v>
      </c>
      <c r="D9" s="118">
        <f>[2]STA_SP2_NO!$J$38</f>
        <v>0</v>
      </c>
      <c r="E9" s="61">
        <f>[3]STA_SP2_NO!$J$38</f>
        <v>0</v>
      </c>
      <c r="F9" s="118">
        <f>[4]STA_SP2_NO!$J$38</f>
        <v>0</v>
      </c>
      <c r="G9" s="143">
        <f>[5]STA_SP2_NO!$J$38</f>
        <v>0</v>
      </c>
      <c r="H9" s="118">
        <f>[6]STA_SP2_NO!$J$38</f>
        <v>0</v>
      </c>
      <c r="I9" s="143">
        <f>[7]STA_SP2_NO!$J$38</f>
        <v>0</v>
      </c>
      <c r="J9" s="118">
        <f>[8]STA_SP2_NO!$J$38</f>
        <v>0</v>
      </c>
      <c r="K9" s="143">
        <f>[9]STA_SP2_NO!$J$38</f>
        <v>0</v>
      </c>
      <c r="L9" s="387">
        <f>[10]STA_SP2_NO!$J$38</f>
        <v>0</v>
      </c>
      <c r="M9" s="394">
        <f>[11]STA_SP2_NO!$J$38</f>
        <v>0</v>
      </c>
      <c r="N9" s="397">
        <f t="shared" si="0"/>
        <v>0</v>
      </c>
    </row>
    <row r="10" spans="1:15" x14ac:dyDescent="0.25">
      <c r="A10" s="32">
        <v>6</v>
      </c>
      <c r="B10" s="33" t="s">
        <v>43</v>
      </c>
      <c r="C10" s="62">
        <f>[1]STA_SP2_NO!$J$39</f>
        <v>0</v>
      </c>
      <c r="D10" s="118">
        <f>[2]STA_SP2_NO!$J$39</f>
        <v>0</v>
      </c>
      <c r="E10" s="61">
        <f>[3]STA_SP2_NO!$J$39</f>
        <v>0</v>
      </c>
      <c r="F10" s="118">
        <f>[4]STA_SP2_NO!$J$39</f>
        <v>0</v>
      </c>
      <c r="G10" s="143">
        <f>[5]STA_SP2_NO!$J$39</f>
        <v>0</v>
      </c>
      <c r="H10" s="118">
        <f>[6]STA_SP2_NO!$J$39</f>
        <v>0</v>
      </c>
      <c r="I10" s="143">
        <f>[7]STA_SP2_NO!$J$39</f>
        <v>0</v>
      </c>
      <c r="J10" s="118">
        <f>[8]STA_SP2_NO!$J$39</f>
        <v>0</v>
      </c>
      <c r="K10" s="143">
        <f>[9]STA_SP2_NO!$J$39</f>
        <v>0</v>
      </c>
      <c r="L10" s="387">
        <f>[10]STA_SP2_NO!$J$39</f>
        <v>0</v>
      </c>
      <c r="M10" s="394">
        <f>[11]STA_SP2_NO!$J$39</f>
        <v>0</v>
      </c>
      <c r="N10" s="397">
        <f t="shared" si="0"/>
        <v>0</v>
      </c>
    </row>
    <row r="11" spans="1:15" x14ac:dyDescent="0.25">
      <c r="A11" s="32">
        <v>7</v>
      </c>
      <c r="B11" s="33" t="s">
        <v>44</v>
      </c>
      <c r="C11" s="62">
        <f>[1]STA_SP2_NO!$J$40</f>
        <v>0</v>
      </c>
      <c r="D11" s="118">
        <f>[2]STA_SP2_NO!$J$40</f>
        <v>0</v>
      </c>
      <c r="E11" s="61">
        <f>[3]STA_SP2_NO!$J$40</f>
        <v>0</v>
      </c>
      <c r="F11" s="118">
        <f>[4]STA_SP2_NO!$J$40</f>
        <v>0</v>
      </c>
      <c r="G11" s="143">
        <f>[5]STA_SP2_NO!$J$40</f>
        <v>0</v>
      </c>
      <c r="H11" s="118">
        <f>[6]STA_SP2_NO!$J$40</f>
        <v>0</v>
      </c>
      <c r="I11" s="143">
        <f>[7]STA_SP2_NO!$J$40</f>
        <v>0</v>
      </c>
      <c r="J11" s="118">
        <f>[8]STA_SP2_NO!$J$40</f>
        <v>0</v>
      </c>
      <c r="K11" s="143">
        <f>[9]STA_SP2_NO!$J$40</f>
        <v>0</v>
      </c>
      <c r="L11" s="387">
        <f>[10]STA_SP2_NO!$J$40</f>
        <v>0</v>
      </c>
      <c r="M11" s="394">
        <f>[11]STA_SP2_NO!$J$40</f>
        <v>0</v>
      </c>
      <c r="N11" s="397">
        <f t="shared" si="0"/>
        <v>0</v>
      </c>
    </row>
    <row r="12" spans="1:15" ht="15.75" thickBot="1" x14ac:dyDescent="0.3">
      <c r="A12" s="34">
        <v>8</v>
      </c>
      <c r="B12" s="35" t="s">
        <v>45</v>
      </c>
      <c r="C12" s="62">
        <f>[1]STA_SP2_NO!$J$41</f>
        <v>0</v>
      </c>
      <c r="D12" s="118">
        <f>[2]STA_SP2_NO!$J$41</f>
        <v>0</v>
      </c>
      <c r="E12" s="61">
        <f>[3]STA_SP2_NO!$J$41</f>
        <v>0</v>
      </c>
      <c r="F12" s="118">
        <f>[4]STA_SP2_NO!$J$41</f>
        <v>0</v>
      </c>
      <c r="G12" s="143">
        <f>[5]STA_SP2_NO!$J$41</f>
        <v>0</v>
      </c>
      <c r="H12" s="118">
        <f>[6]STA_SP2_NO!$J$41</f>
        <v>0</v>
      </c>
      <c r="I12" s="143">
        <f>[7]STA_SP2_NO!$J$41</f>
        <v>0</v>
      </c>
      <c r="J12" s="118">
        <f>[8]STA_SP2_NO!$J$41</f>
        <v>0</v>
      </c>
      <c r="K12" s="143">
        <f>[9]STA_SP2_NO!$J$41</f>
        <v>0</v>
      </c>
      <c r="L12" s="387">
        <f>[10]STA_SP2_NO!$J$41</f>
        <v>0</v>
      </c>
      <c r="M12" s="394">
        <f>[11]STA_SP2_NO!$J$41</f>
        <v>0</v>
      </c>
      <c r="N12" s="397">
        <f t="shared" si="0"/>
        <v>0</v>
      </c>
    </row>
    <row r="13" spans="1:15" ht="15.75" thickBot="1" x14ac:dyDescent="0.3">
      <c r="A13" s="57"/>
      <c r="B13" s="37" t="s">
        <v>29</v>
      </c>
      <c r="C13" s="122">
        <f t="shared" ref="C13:F13" si="1">SUM(C5:C12)</f>
        <v>5</v>
      </c>
      <c r="D13" s="39">
        <f t="shared" si="1"/>
        <v>0</v>
      </c>
      <c r="E13" s="41">
        <f t="shared" si="1"/>
        <v>1</v>
      </c>
      <c r="F13" s="39">
        <f t="shared" si="1"/>
        <v>0</v>
      </c>
      <c r="G13" s="40">
        <f t="shared" ref="G13:N13" si="2">SUM(G5:G12)</f>
        <v>0</v>
      </c>
      <c r="H13" s="39">
        <f t="shared" si="2"/>
        <v>0</v>
      </c>
      <c r="I13" s="40">
        <f t="shared" si="2"/>
        <v>0</v>
      </c>
      <c r="J13" s="39">
        <f t="shared" si="2"/>
        <v>1</v>
      </c>
      <c r="K13" s="40">
        <f t="shared" si="2"/>
        <v>0</v>
      </c>
      <c r="L13" s="380">
        <f t="shared" si="2"/>
        <v>0</v>
      </c>
      <c r="M13" s="400">
        <f t="shared" si="2"/>
        <v>0</v>
      </c>
      <c r="N13" s="234">
        <f t="shared" si="2"/>
        <v>7</v>
      </c>
    </row>
    <row r="14" spans="1:15" ht="15.75" thickBot="1" x14ac:dyDescent="0.3"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8"/>
      <c r="N14" s="1"/>
    </row>
    <row r="15" spans="1:15" ht="15.75" thickBot="1" x14ac:dyDescent="0.3">
      <c r="A15" s="551" t="s">
        <v>52</v>
      </c>
      <c r="B15" s="552"/>
      <c r="C15" s="72">
        <f>C13/N13</f>
        <v>0.7142857142857143</v>
      </c>
      <c r="D15" s="71">
        <f>D13/N13</f>
        <v>0</v>
      </c>
      <c r="E15" s="70">
        <f>E13/N13</f>
        <v>0.14285714285714285</v>
      </c>
      <c r="F15" s="47">
        <f>F13/N13</f>
        <v>0</v>
      </c>
      <c r="G15" s="48">
        <f>G13/N13</f>
        <v>0</v>
      </c>
      <c r="H15" s="56">
        <f>H13/N13</f>
        <v>0</v>
      </c>
      <c r="I15" s="48">
        <f>I13/N13</f>
        <v>0</v>
      </c>
      <c r="J15" s="56">
        <f>J13/N13</f>
        <v>0.14285714285714285</v>
      </c>
      <c r="K15" s="48">
        <f>K13/N13</f>
        <v>0</v>
      </c>
      <c r="L15" s="56">
        <f>L13/N13</f>
        <v>0</v>
      </c>
      <c r="M15" s="342">
        <f>M13/N13</f>
        <v>0</v>
      </c>
      <c r="N15" s="251">
        <f>SUM(C15:M15)</f>
        <v>1</v>
      </c>
    </row>
    <row r="16" spans="1:1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B17" s="26"/>
      <c r="C17" s="469" t="s">
        <v>115</v>
      </c>
      <c r="D17" s="470"/>
      <c r="E17" s="470"/>
      <c r="F17" s="470"/>
      <c r="G17" s="470"/>
      <c r="H17" s="470"/>
      <c r="I17" s="470"/>
      <c r="J17" s="471"/>
      <c r="K17" s="471"/>
      <c r="L17" s="26"/>
      <c r="M17" s="26"/>
      <c r="N17" s="155" t="s">
        <v>35</v>
      </c>
    </row>
    <row r="18" spans="1:14" ht="15.75" thickBot="1" x14ac:dyDescent="0.3">
      <c r="A18" s="472" t="s">
        <v>0</v>
      </c>
      <c r="B18" s="474" t="s">
        <v>1</v>
      </c>
      <c r="C18" s="494" t="s">
        <v>2</v>
      </c>
      <c r="D18" s="495"/>
      <c r="E18" s="495"/>
      <c r="F18" s="495"/>
      <c r="G18" s="495"/>
      <c r="H18" s="495"/>
      <c r="I18" s="495"/>
      <c r="J18" s="495"/>
      <c r="K18" s="495"/>
      <c r="L18" s="495"/>
      <c r="M18" s="496"/>
      <c r="N18" s="499" t="s">
        <v>3</v>
      </c>
    </row>
    <row r="19" spans="1:14" x14ac:dyDescent="0.25">
      <c r="A19" s="512"/>
      <c r="B19" s="513"/>
      <c r="C19" s="519" t="s">
        <v>68</v>
      </c>
      <c r="D19" s="513" t="s">
        <v>4</v>
      </c>
      <c r="E19" s="523" t="s">
        <v>5</v>
      </c>
      <c r="F19" s="474" t="s">
        <v>6</v>
      </c>
      <c r="G19" s="506" t="s">
        <v>8</v>
      </c>
      <c r="H19" s="474" t="s">
        <v>93</v>
      </c>
      <c r="I19" s="506" t="s">
        <v>96</v>
      </c>
      <c r="J19" s="516" t="s">
        <v>9</v>
      </c>
      <c r="K19" s="506" t="s">
        <v>92</v>
      </c>
      <c r="L19" s="474" t="s">
        <v>10</v>
      </c>
      <c r="M19" s="535" t="s">
        <v>95</v>
      </c>
      <c r="N19" s="545"/>
    </row>
    <row r="20" spans="1:14" ht="15.75" thickBot="1" x14ac:dyDescent="0.3">
      <c r="A20" s="507"/>
      <c r="B20" s="514"/>
      <c r="C20" s="521"/>
      <c r="D20" s="507"/>
      <c r="E20" s="507"/>
      <c r="F20" s="507"/>
      <c r="G20" s="515"/>
      <c r="H20" s="475"/>
      <c r="I20" s="515"/>
      <c r="J20" s="517"/>
      <c r="K20" s="515"/>
      <c r="L20" s="475"/>
      <c r="M20" s="536"/>
      <c r="N20" s="546"/>
    </row>
    <row r="21" spans="1:14" x14ac:dyDescent="0.25">
      <c r="A21" s="30">
        <v>1</v>
      </c>
      <c r="B21" s="31" t="s">
        <v>38</v>
      </c>
      <c r="C21" s="62">
        <f>[1]STA_SP2_NO!$K$34</f>
        <v>2269.6799999999998</v>
      </c>
      <c r="D21" s="118">
        <f>[2]STA_SP2_NO!$K$34</f>
        <v>0</v>
      </c>
      <c r="E21" s="61">
        <f>[3]STA_SP2_NO!$K$34</f>
        <v>0</v>
      </c>
      <c r="F21" s="118">
        <f>[4]STA_SP2_NO!$K$34</f>
        <v>0</v>
      </c>
      <c r="G21" s="143">
        <f>[5]STA_SP2_NO!$K$34</f>
        <v>0</v>
      </c>
      <c r="H21" s="118">
        <f>[6]STA_SP2_NO!$K$34</f>
        <v>0</v>
      </c>
      <c r="I21" s="143">
        <f>[7]STA_SP2_NO!$K$34</f>
        <v>0</v>
      </c>
      <c r="J21" s="118">
        <f>[8]STA_SP2_NO!$K$34</f>
        <v>121</v>
      </c>
      <c r="K21" s="143">
        <f>[9]STA_SP2_NO!$K$34</f>
        <v>0</v>
      </c>
      <c r="L21" s="387">
        <f>[10]STA_SP2_NO!$K$34</f>
        <v>0</v>
      </c>
      <c r="M21" s="394">
        <f>[11]STA_SP2_NO!$K$34</f>
        <v>0</v>
      </c>
      <c r="N21" s="397">
        <f t="shared" ref="N21:N28" si="3">SUM(C21:M21)</f>
        <v>2390.6799999999998</v>
      </c>
    </row>
    <row r="22" spans="1:14" x14ac:dyDescent="0.25">
      <c r="A22" s="32">
        <v>2</v>
      </c>
      <c r="B22" s="33" t="s">
        <v>39</v>
      </c>
      <c r="C22" s="62">
        <f>[1]STA_SP2_NO!$K$35</f>
        <v>0</v>
      </c>
      <c r="D22" s="118">
        <f>[2]STA_SP2_NO!$K$35</f>
        <v>0</v>
      </c>
      <c r="E22" s="61">
        <f>[3]STA_SP2_NO!$K$35</f>
        <v>119</v>
      </c>
      <c r="F22" s="118">
        <f>[4]STA_SP2_NO!$K$35</f>
        <v>0</v>
      </c>
      <c r="G22" s="143">
        <f>[5]STA_SP2_NO!$K$35</f>
        <v>0</v>
      </c>
      <c r="H22" s="118">
        <f>[6]STA_SP2_NO!$K$35</f>
        <v>0</v>
      </c>
      <c r="I22" s="143">
        <f>[7]STA_SP2_NO!$K$35</f>
        <v>0</v>
      </c>
      <c r="J22" s="118">
        <f>[8]STA_SP2_NO!$K$35</f>
        <v>0</v>
      </c>
      <c r="K22" s="143">
        <f>[9]STA_SP2_NO!$K$35</f>
        <v>0</v>
      </c>
      <c r="L22" s="387">
        <f>[10]STA_SP2_NO!$K$35</f>
        <v>0</v>
      </c>
      <c r="M22" s="394">
        <f>[11]STA_SP2_NO!$K$35</f>
        <v>0</v>
      </c>
      <c r="N22" s="397">
        <f t="shared" si="3"/>
        <v>119</v>
      </c>
    </row>
    <row r="23" spans="1:14" x14ac:dyDescent="0.25">
      <c r="A23" s="32">
        <v>3</v>
      </c>
      <c r="B23" s="33" t="s">
        <v>40</v>
      </c>
      <c r="C23" s="62">
        <f>[1]STA_SP2_NO!$K$36</f>
        <v>0</v>
      </c>
      <c r="D23" s="118">
        <f>[2]STA_SP2_NO!$K$36</f>
        <v>0</v>
      </c>
      <c r="E23" s="61">
        <f>[3]STA_SP2_NO!$K$36</f>
        <v>0</v>
      </c>
      <c r="F23" s="118">
        <f>[4]STA_SP2_NO!$K$36</f>
        <v>0</v>
      </c>
      <c r="G23" s="143">
        <f>[5]STA_SP2_NO!$K$36</f>
        <v>0</v>
      </c>
      <c r="H23" s="118">
        <f>[6]STA_SP2_NO!$K$36</f>
        <v>0</v>
      </c>
      <c r="I23" s="143">
        <f>[7]STA_SP2_NO!$K$36</f>
        <v>0</v>
      </c>
      <c r="J23" s="118">
        <f>[8]STA_SP2_NO!$K$36</f>
        <v>0</v>
      </c>
      <c r="K23" s="143">
        <f>[9]STA_SP2_NO!$K$36</f>
        <v>0</v>
      </c>
      <c r="L23" s="387">
        <f>[10]STA_SP2_NO!$K$36</f>
        <v>0</v>
      </c>
      <c r="M23" s="394">
        <f>[11]STA_SP2_NO!$K$36</f>
        <v>0</v>
      </c>
      <c r="N23" s="397">
        <f t="shared" si="3"/>
        <v>0</v>
      </c>
    </row>
    <row r="24" spans="1:14" x14ac:dyDescent="0.25">
      <c r="A24" s="32">
        <v>4</v>
      </c>
      <c r="B24" s="33" t="s">
        <v>41</v>
      </c>
      <c r="C24" s="62">
        <f>[1]STA_SP2_NO!$K$37</f>
        <v>0</v>
      </c>
      <c r="D24" s="118">
        <f>[2]STA_SP2_NO!$K$37</f>
        <v>0</v>
      </c>
      <c r="E24" s="61">
        <f>[3]STA_SP2_NO!$K$37</f>
        <v>0</v>
      </c>
      <c r="F24" s="118">
        <f>[4]STA_SP2_NO!$K$37</f>
        <v>0</v>
      </c>
      <c r="G24" s="143">
        <f>[5]STA_SP2_NO!$K$37</f>
        <v>0</v>
      </c>
      <c r="H24" s="118">
        <f>[6]STA_SP2_NO!$K$37</f>
        <v>0</v>
      </c>
      <c r="I24" s="143">
        <f>[7]STA_SP2_NO!$K$37</f>
        <v>0</v>
      </c>
      <c r="J24" s="118">
        <f>[8]STA_SP2_NO!$K$37</f>
        <v>0</v>
      </c>
      <c r="K24" s="143">
        <f>[9]STA_SP2_NO!$K$37</f>
        <v>0</v>
      </c>
      <c r="L24" s="387">
        <f>[10]STA_SP2_NO!$K$37</f>
        <v>0</v>
      </c>
      <c r="M24" s="394">
        <f>[11]STA_SP2_NO!$K$37</f>
        <v>0</v>
      </c>
      <c r="N24" s="397">
        <f t="shared" si="3"/>
        <v>0</v>
      </c>
    </row>
    <row r="25" spans="1:14" x14ac:dyDescent="0.25">
      <c r="A25" s="32">
        <v>5</v>
      </c>
      <c r="B25" s="33" t="s">
        <v>42</v>
      </c>
      <c r="C25" s="62">
        <f>[1]STA_SP2_NO!$K$38</f>
        <v>0</v>
      </c>
      <c r="D25" s="118">
        <f>[2]STA_SP2_NO!$K$38</f>
        <v>0</v>
      </c>
      <c r="E25" s="61">
        <f>[3]STA_SP2_NO!$K$38</f>
        <v>0</v>
      </c>
      <c r="F25" s="118">
        <f>[4]STA_SP2_NO!$K$38</f>
        <v>0</v>
      </c>
      <c r="G25" s="143">
        <f>[5]STA_SP2_NO!$K$38</f>
        <v>0</v>
      </c>
      <c r="H25" s="118">
        <f>[6]STA_SP2_NO!$K$38</f>
        <v>0</v>
      </c>
      <c r="I25" s="143">
        <f>[7]STA_SP2_NO!$K$38</f>
        <v>0</v>
      </c>
      <c r="J25" s="118">
        <f>[8]STA_SP2_NO!$K$38</f>
        <v>0</v>
      </c>
      <c r="K25" s="143">
        <f>[9]STA_SP2_NO!$K$38</f>
        <v>0</v>
      </c>
      <c r="L25" s="387">
        <f>[10]STA_SP2_NO!$K$38</f>
        <v>0</v>
      </c>
      <c r="M25" s="394">
        <f>[11]STA_SP2_NO!$K$38</f>
        <v>0</v>
      </c>
      <c r="N25" s="397">
        <f t="shared" si="3"/>
        <v>0</v>
      </c>
    </row>
    <row r="26" spans="1:14" x14ac:dyDescent="0.25">
      <c r="A26" s="32">
        <v>6</v>
      </c>
      <c r="B26" s="33" t="s">
        <v>43</v>
      </c>
      <c r="C26" s="62">
        <f>[1]STA_SP2_NO!$K$39</f>
        <v>0</v>
      </c>
      <c r="D26" s="118">
        <f>[2]STA_SP2_NO!$K$39</f>
        <v>0</v>
      </c>
      <c r="E26" s="61">
        <f>[3]STA_SP2_NO!$K$39</f>
        <v>0</v>
      </c>
      <c r="F26" s="118">
        <f>[4]STA_SP2_NO!$K$39</f>
        <v>0</v>
      </c>
      <c r="G26" s="143">
        <f>[5]STA_SP2_NO!$K$39</f>
        <v>0</v>
      </c>
      <c r="H26" s="118">
        <f>[6]STA_SP2_NO!$K$39</f>
        <v>0</v>
      </c>
      <c r="I26" s="143">
        <f>[7]STA_SP2_NO!$K$39</f>
        <v>0</v>
      </c>
      <c r="J26" s="118">
        <f>[8]STA_SP2_NO!$K$39</f>
        <v>0</v>
      </c>
      <c r="K26" s="143">
        <f>[9]STA_SP2_NO!$K$39</f>
        <v>0</v>
      </c>
      <c r="L26" s="387">
        <f>[10]STA_SP2_NO!$K$39</f>
        <v>0</v>
      </c>
      <c r="M26" s="394">
        <f>[11]STA_SP2_NO!$K$39</f>
        <v>0</v>
      </c>
      <c r="N26" s="397">
        <f t="shared" si="3"/>
        <v>0</v>
      </c>
    </row>
    <row r="27" spans="1:14" x14ac:dyDescent="0.25">
      <c r="A27" s="32">
        <v>7</v>
      </c>
      <c r="B27" s="33" t="s">
        <v>44</v>
      </c>
      <c r="C27" s="62">
        <f>[1]STA_SP2_NO!$K$40</f>
        <v>0</v>
      </c>
      <c r="D27" s="118">
        <f>[2]STA_SP2_NO!$K$40</f>
        <v>0</v>
      </c>
      <c r="E27" s="61">
        <f>[3]STA_SP2_NO!$K$40</f>
        <v>0</v>
      </c>
      <c r="F27" s="118">
        <f>[4]STA_SP2_NO!$K$40</f>
        <v>0</v>
      </c>
      <c r="G27" s="143">
        <f>[5]STA_SP2_NO!$K$40</f>
        <v>0</v>
      </c>
      <c r="H27" s="118">
        <f>[6]STA_SP2_NO!$K$40</f>
        <v>0</v>
      </c>
      <c r="I27" s="143">
        <f>[7]STA_SP2_NO!$K$40</f>
        <v>0</v>
      </c>
      <c r="J27" s="118">
        <f>[8]STA_SP2_NO!$K$40</f>
        <v>0</v>
      </c>
      <c r="K27" s="143">
        <f>[9]STA_SP2_NO!$K$40</f>
        <v>0</v>
      </c>
      <c r="L27" s="387">
        <f>[10]STA_SP2_NO!$K$40</f>
        <v>0</v>
      </c>
      <c r="M27" s="394">
        <f>[11]STA_SP2_NO!$K$40</f>
        <v>0</v>
      </c>
      <c r="N27" s="397">
        <f t="shared" si="3"/>
        <v>0</v>
      </c>
    </row>
    <row r="28" spans="1:14" ht="15.75" thickBot="1" x14ac:dyDescent="0.3">
      <c r="A28" s="34">
        <v>8</v>
      </c>
      <c r="B28" s="35" t="s">
        <v>45</v>
      </c>
      <c r="C28" s="62">
        <f>[1]STA_SP2_NO!$K$41</f>
        <v>0</v>
      </c>
      <c r="D28" s="118">
        <f>[2]STA_SP2_NO!$K$41</f>
        <v>0</v>
      </c>
      <c r="E28" s="61">
        <f>[3]STA_SP2_NO!$K$41</f>
        <v>0</v>
      </c>
      <c r="F28" s="118">
        <f>[4]STA_SP2_NO!$K$41</f>
        <v>0</v>
      </c>
      <c r="G28" s="143">
        <f>[5]STA_SP2_NO!$K$41</f>
        <v>0</v>
      </c>
      <c r="H28" s="118">
        <f>[6]STA_SP2_NO!$K$41</f>
        <v>0</v>
      </c>
      <c r="I28" s="143">
        <f>[7]STA_SP2_NO!$K$41</f>
        <v>0</v>
      </c>
      <c r="J28" s="118">
        <f>[8]STA_SP2_NO!$K$41</f>
        <v>0</v>
      </c>
      <c r="K28" s="143">
        <f>[9]STA_SP2_NO!$K$41</f>
        <v>0</v>
      </c>
      <c r="L28" s="387">
        <f>[10]STA_SP2_NO!$K$41</f>
        <v>0</v>
      </c>
      <c r="M28" s="394">
        <f>[11]STA_SP2_NO!$K$41</f>
        <v>0</v>
      </c>
      <c r="N28" s="397">
        <f t="shared" si="3"/>
        <v>0</v>
      </c>
    </row>
    <row r="29" spans="1:14" ht="15.75" thickBot="1" x14ac:dyDescent="0.3">
      <c r="A29" s="36"/>
      <c r="B29" s="37" t="s">
        <v>36</v>
      </c>
      <c r="C29" s="73">
        <f t="shared" ref="C29:F29" si="4">SUM(C21:C28)</f>
        <v>2269.6799999999998</v>
      </c>
      <c r="D29" s="39">
        <f t="shared" si="4"/>
        <v>0</v>
      </c>
      <c r="E29" s="73">
        <f t="shared" si="4"/>
        <v>119</v>
      </c>
      <c r="F29" s="39">
        <f t="shared" si="4"/>
        <v>0</v>
      </c>
      <c r="G29" s="392">
        <f t="shared" ref="G29:N29" si="5">SUM(G21:G28)</f>
        <v>0</v>
      </c>
      <c r="H29" s="51">
        <f t="shared" si="5"/>
        <v>0</v>
      </c>
      <c r="I29" s="41">
        <f t="shared" si="5"/>
        <v>0</v>
      </c>
      <c r="J29" s="51">
        <f t="shared" si="5"/>
        <v>121</v>
      </c>
      <c r="K29" s="41">
        <f t="shared" si="5"/>
        <v>0</v>
      </c>
      <c r="L29" s="338">
        <f t="shared" si="5"/>
        <v>0</v>
      </c>
      <c r="M29" s="400">
        <f t="shared" si="5"/>
        <v>0</v>
      </c>
      <c r="N29" s="234">
        <f t="shared" si="5"/>
        <v>2509.6799999999998</v>
      </c>
    </row>
    <row r="30" spans="1:14" ht="15.75" thickBot="1" x14ac:dyDescent="0.3">
      <c r="B30" s="1"/>
      <c r="C30" s="1"/>
      <c r="D30" s="1"/>
      <c r="E30" s="1"/>
      <c r="F30" s="1"/>
      <c r="G30" s="341"/>
      <c r="H30" s="1"/>
      <c r="I30" s="341"/>
      <c r="J30" s="1"/>
      <c r="K30" s="341"/>
      <c r="L30" s="1"/>
      <c r="M30" s="348"/>
      <c r="N30" s="1"/>
    </row>
    <row r="31" spans="1:14" ht="15.75" thickBot="1" x14ac:dyDescent="0.3">
      <c r="A31" s="551" t="s">
        <v>52</v>
      </c>
      <c r="B31" s="552"/>
      <c r="C31" s="70">
        <f>C29/N29</f>
        <v>0.90437027828249017</v>
      </c>
      <c r="D31" s="71">
        <f>D29/N29</f>
        <v>0</v>
      </c>
      <c r="E31" s="70">
        <f>E29/N29</f>
        <v>4.7416403684931947E-2</v>
      </c>
      <c r="F31" s="71">
        <f>F29/N29</f>
        <v>0</v>
      </c>
      <c r="G31" s="55">
        <f>G29/N29</f>
        <v>0</v>
      </c>
      <c r="H31" s="56">
        <f>H29/N29</f>
        <v>0</v>
      </c>
      <c r="I31" s="55">
        <f>I29/N29</f>
        <v>0</v>
      </c>
      <c r="J31" s="56">
        <f>J29/N29</f>
        <v>4.8213318032577862E-2</v>
      </c>
      <c r="K31" s="55">
        <f>K29/N29</f>
        <v>0</v>
      </c>
      <c r="L31" s="56">
        <f>L29/N29</f>
        <v>0</v>
      </c>
      <c r="M31" s="342">
        <f>M29/N29</f>
        <v>0</v>
      </c>
      <c r="N31" s="261">
        <f>SUM(C31:M31)</f>
        <v>1</v>
      </c>
    </row>
  </sheetData>
  <mergeCells count="34">
    <mergeCell ref="A31:B31"/>
    <mergeCell ref="C17:K17"/>
    <mergeCell ref="A18:A20"/>
    <mergeCell ref="B18:B20"/>
    <mergeCell ref="A2:A4"/>
    <mergeCell ref="A15:B15"/>
    <mergeCell ref="C2:M2"/>
    <mergeCell ref="N18:N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C18:M18"/>
    <mergeCell ref="C1:K1"/>
    <mergeCell ref="B2:B4"/>
    <mergeCell ref="N2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F34" sqref="F34"/>
    </sheetView>
  </sheetViews>
  <sheetFormatPr defaultRowHeight="15" x14ac:dyDescent="0.25"/>
  <cols>
    <col min="1" max="1" width="4.42578125" customWidth="1"/>
    <col min="2" max="2" width="27.85546875" customWidth="1"/>
    <col min="3" max="3" width="9.140625" customWidth="1"/>
    <col min="4" max="4" width="9.85546875" bestFit="1" customWidth="1"/>
    <col min="8" max="8" width="9.85546875" bestFit="1" customWidth="1"/>
  </cols>
  <sheetData>
    <row r="1" spans="1:14" ht="33.75" customHeight="1" thickBot="1" x14ac:dyDescent="0.3">
      <c r="A1" s="26"/>
      <c r="B1" s="26"/>
      <c r="C1" s="469" t="s">
        <v>116</v>
      </c>
      <c r="D1" s="470"/>
      <c r="E1" s="470"/>
      <c r="F1" s="470"/>
      <c r="G1" s="470"/>
      <c r="H1" s="470"/>
      <c r="I1" s="470"/>
      <c r="J1" s="26"/>
      <c r="K1" s="26"/>
      <c r="L1" s="26"/>
      <c r="M1" s="26"/>
      <c r="N1" s="157" t="s">
        <v>35</v>
      </c>
    </row>
    <row r="2" spans="1:14" ht="15.75" thickBot="1" x14ac:dyDescent="0.3">
      <c r="A2" s="472" t="s">
        <v>0</v>
      </c>
      <c r="B2" s="474" t="s">
        <v>1</v>
      </c>
      <c r="C2" s="491" t="s">
        <v>2</v>
      </c>
      <c r="D2" s="492"/>
      <c r="E2" s="492"/>
      <c r="F2" s="492"/>
      <c r="G2" s="492"/>
      <c r="H2" s="492"/>
      <c r="I2" s="492"/>
      <c r="J2" s="492"/>
      <c r="K2" s="492"/>
      <c r="L2" s="492"/>
      <c r="M2" s="555"/>
      <c r="N2" s="476" t="s">
        <v>3</v>
      </c>
    </row>
    <row r="3" spans="1:14" ht="15.75" thickBot="1" x14ac:dyDescent="0.3">
      <c r="A3" s="473"/>
      <c r="B3" s="490"/>
      <c r="C3" s="354" t="s">
        <v>68</v>
      </c>
      <c r="D3" s="344" t="s">
        <v>4</v>
      </c>
      <c r="E3" s="355" t="s">
        <v>5</v>
      </c>
      <c r="F3" s="344" t="s">
        <v>6</v>
      </c>
      <c r="G3" s="357" t="s">
        <v>8</v>
      </c>
      <c r="H3" s="356" t="s">
        <v>93</v>
      </c>
      <c r="I3" s="357" t="s">
        <v>96</v>
      </c>
      <c r="J3" s="372" t="s">
        <v>9</v>
      </c>
      <c r="K3" s="357" t="s">
        <v>92</v>
      </c>
      <c r="L3" s="407" t="s">
        <v>10</v>
      </c>
      <c r="M3" s="357" t="s">
        <v>95</v>
      </c>
      <c r="N3" s="553"/>
    </row>
    <row r="4" spans="1:14" x14ac:dyDescent="0.25">
      <c r="A4" s="30">
        <v>1</v>
      </c>
      <c r="B4" s="351" t="s">
        <v>11</v>
      </c>
      <c r="C4" s="370">
        <f>[1]STA_SP4_NO!$P$10</f>
        <v>45531.01</v>
      </c>
      <c r="D4" s="402">
        <f>[2]STA_SP4_NO!$P$10</f>
        <v>59679.98</v>
      </c>
      <c r="E4" s="370">
        <f>[3]STA_SP4_NO!$P$10</f>
        <v>4355</v>
      </c>
      <c r="F4" s="54">
        <f>[4]STA_SP4_NO!$P$10</f>
        <v>17775.07</v>
      </c>
      <c r="G4" s="62">
        <f>[5]STA_SP4_NO!$P$10</f>
        <v>39293.17</v>
      </c>
      <c r="H4" s="54">
        <f>[6]STA_SP4_NO!$P$10</f>
        <v>9837</v>
      </c>
      <c r="I4" s="62">
        <f>[7]STA_SP4_NO!$P$10</f>
        <v>12428</v>
      </c>
      <c r="J4" s="54">
        <f>[8]STA_SP4_NO!$P$10</f>
        <v>8651</v>
      </c>
      <c r="K4" s="62">
        <f>[9]STA_SP4_NO!$P$10</f>
        <v>14765.53</v>
      </c>
      <c r="L4" s="54">
        <f>[10]STA_SP4_NO!$P$10</f>
        <v>31240</v>
      </c>
      <c r="M4" s="405">
        <f>[11]STA_SP4_NO!$P$10</f>
        <v>0</v>
      </c>
      <c r="N4" s="403">
        <f t="shared" ref="N4:N22" si="0">SUM(C4:M4)</f>
        <v>243555.75999999998</v>
      </c>
    </row>
    <row r="5" spans="1:14" x14ac:dyDescent="0.25">
      <c r="A5" s="32">
        <v>2</v>
      </c>
      <c r="B5" s="352" t="s">
        <v>12</v>
      </c>
      <c r="C5" s="370">
        <f>[1]STA_SP4_NO!$P$11</f>
        <v>63190.8</v>
      </c>
      <c r="D5" s="402">
        <f>[2]STA_SP4_NO!$P$11</f>
        <v>84442.95</v>
      </c>
      <c r="E5" s="370">
        <f>[3]STA_SP4_NO!$P$11</f>
        <v>10320</v>
      </c>
      <c r="F5" s="54">
        <f>[4]STA_SP4_NO!$P$11</f>
        <v>25944.26</v>
      </c>
      <c r="G5" s="62">
        <f>[5]STA_SP4_NO!$P$11</f>
        <v>49846.41</v>
      </c>
      <c r="H5" s="54">
        <f>[6]STA_SP4_NO!$P$11</f>
        <v>0</v>
      </c>
      <c r="I5" s="62">
        <f>[7]STA_SP4_NO!$P$11</f>
        <v>31514</v>
      </c>
      <c r="J5" s="54">
        <f>[8]STA_SP4_NO!$P$11</f>
        <v>0</v>
      </c>
      <c r="K5" s="62">
        <f>[9]STA_SP4_NO!$P$11</f>
        <v>71376.55</v>
      </c>
      <c r="L5" s="54">
        <f>[10]STA_SP4_NO!$P$11</f>
        <v>90599</v>
      </c>
      <c r="M5" s="408">
        <f>[11]STA_SP4_NO!$P$11</f>
        <v>0</v>
      </c>
      <c r="N5" s="403">
        <f t="shared" si="0"/>
        <v>427233.97000000003</v>
      </c>
    </row>
    <row r="6" spans="1:14" x14ac:dyDescent="0.25">
      <c r="A6" s="32">
        <v>3</v>
      </c>
      <c r="B6" s="352" t="s">
        <v>13</v>
      </c>
      <c r="C6" s="370">
        <f>[1]STA_SP4_NO!$P$12</f>
        <v>34766.94</v>
      </c>
      <c r="D6" s="402">
        <f>[2]STA_SP4_NO!$P$12</f>
        <v>32123.88</v>
      </c>
      <c r="E6" s="370">
        <f>[3]STA_SP4_NO!$P$12</f>
        <v>12019</v>
      </c>
      <c r="F6" s="54">
        <f>[4]STA_SP4_NO!$P$12</f>
        <v>54379.54</v>
      </c>
      <c r="G6" s="62">
        <f>[5]STA_SP4_NO!$P$12</f>
        <v>32609.08</v>
      </c>
      <c r="H6" s="54">
        <f>[6]STA_SP4_NO!$P$12</f>
        <v>5024</v>
      </c>
      <c r="I6" s="62">
        <f>[7]STA_SP4_NO!$P$12</f>
        <v>21890</v>
      </c>
      <c r="J6" s="54">
        <f>[8]STA_SP4_NO!$P$12</f>
        <v>21942</v>
      </c>
      <c r="K6" s="62">
        <f>[9]STA_SP4_NO!$P$12</f>
        <v>26519.279999999999</v>
      </c>
      <c r="L6" s="54">
        <f>[10]STA_SP4_NO!$P$12</f>
        <v>33769</v>
      </c>
      <c r="M6" s="405">
        <f>[11]STA_SP4_NO!$P$12</f>
        <v>0</v>
      </c>
      <c r="N6" s="403">
        <f t="shared" si="0"/>
        <v>275042.71999999997</v>
      </c>
    </row>
    <row r="7" spans="1:14" x14ac:dyDescent="0.25">
      <c r="A7" s="32">
        <v>4</v>
      </c>
      <c r="B7" s="352" t="s">
        <v>14</v>
      </c>
      <c r="C7" s="370">
        <f>[1]STA_SP4_NO!$P$13</f>
        <v>0</v>
      </c>
      <c r="D7" s="402">
        <f>[2]STA_SP4_NO!$P$13</f>
        <v>0</v>
      </c>
      <c r="E7" s="370">
        <f>[3]STA_SP4_NO!$P$13</f>
        <v>0</v>
      </c>
      <c r="F7" s="54">
        <f>[4]STA_SP4_NO!$P$13</f>
        <v>0</v>
      </c>
      <c r="G7" s="62">
        <f>[5]STA_SP4_NO!$P$13</f>
        <v>0</v>
      </c>
      <c r="H7" s="54">
        <f>[6]STA_SP4_NO!$P$13</f>
        <v>0</v>
      </c>
      <c r="I7" s="62">
        <f>[7]STA_SP4_NO!$P$13</f>
        <v>0</v>
      </c>
      <c r="J7" s="54">
        <f>[8]STA_SP4_NO!$P$13</f>
        <v>0</v>
      </c>
      <c r="K7" s="62">
        <f>[9]STA_SP4_NO!$P$13</f>
        <v>0</v>
      </c>
      <c r="L7" s="54">
        <f>[10]STA_SP4_NO!$P$13</f>
        <v>0</v>
      </c>
      <c r="M7" s="409">
        <f>[11]STA_SP4_NO!$P$13</f>
        <v>0</v>
      </c>
      <c r="N7" s="403">
        <f t="shared" si="0"/>
        <v>0</v>
      </c>
    </row>
    <row r="8" spans="1:14" x14ac:dyDescent="0.25">
      <c r="A8" s="32">
        <v>5</v>
      </c>
      <c r="B8" s="352" t="s">
        <v>15</v>
      </c>
      <c r="C8" s="370">
        <f>[1]STA_SP4_NO!$P$14</f>
        <v>0</v>
      </c>
      <c r="D8" s="402">
        <f>[2]STA_SP4_NO!$P$14</f>
        <v>0</v>
      </c>
      <c r="E8" s="370">
        <f>[3]STA_SP4_NO!$P$14</f>
        <v>0</v>
      </c>
      <c r="F8" s="54">
        <f>[4]STA_SP4_NO!$P$14</f>
        <v>0</v>
      </c>
      <c r="G8" s="62">
        <f>[5]STA_SP4_NO!$P$14</f>
        <v>11605.77</v>
      </c>
      <c r="H8" s="54">
        <f>[6]STA_SP4_NO!$P$14</f>
        <v>0</v>
      </c>
      <c r="I8" s="62">
        <f>[7]STA_SP4_NO!$P$14</f>
        <v>0</v>
      </c>
      <c r="J8" s="54">
        <f>[8]STA_SP4_NO!$P$14</f>
        <v>323</v>
      </c>
      <c r="K8" s="62">
        <f>[9]STA_SP4_NO!$P$14</f>
        <v>0</v>
      </c>
      <c r="L8" s="54">
        <f>[10]STA_SP4_NO!$P$14</f>
        <v>0</v>
      </c>
      <c r="M8" s="409">
        <f>[11]STA_SP4_NO!$P$14</f>
        <v>0</v>
      </c>
      <c r="N8" s="403">
        <f t="shared" si="0"/>
        <v>11928.77</v>
      </c>
    </row>
    <row r="9" spans="1:14" x14ac:dyDescent="0.25">
      <c r="A9" s="32">
        <v>6</v>
      </c>
      <c r="B9" s="352" t="s">
        <v>16</v>
      </c>
      <c r="C9" s="370">
        <f>[1]STA_SP4_NO!$P$15</f>
        <v>0</v>
      </c>
      <c r="D9" s="402">
        <f>[2]STA_SP4_NO!$P$15</f>
        <v>0</v>
      </c>
      <c r="E9" s="370">
        <f>[3]STA_SP4_NO!$P$15</f>
        <v>31</v>
      </c>
      <c r="F9" s="54">
        <f>[4]STA_SP4_NO!$P$15</f>
        <v>70.900000000000006</v>
      </c>
      <c r="G9" s="62">
        <f>[5]STA_SP4_NO!$P$15</f>
        <v>0</v>
      </c>
      <c r="H9" s="54">
        <f>[6]STA_SP4_NO!$P$15</f>
        <v>0</v>
      </c>
      <c r="I9" s="62">
        <f>[7]STA_SP4_NO!$P$15</f>
        <v>0</v>
      </c>
      <c r="J9" s="54">
        <f>[8]STA_SP4_NO!$P$15</f>
        <v>0</v>
      </c>
      <c r="K9" s="62">
        <f>[9]STA_SP4_NO!$P$15</f>
        <v>65.97</v>
      </c>
      <c r="L9" s="54">
        <f>[10]STA_SP4_NO!$P$15</f>
        <v>0</v>
      </c>
      <c r="M9" s="409">
        <f>[11]STA_SP4_NO!$P$15</f>
        <v>0</v>
      </c>
      <c r="N9" s="403">
        <f t="shared" si="0"/>
        <v>167.87</v>
      </c>
    </row>
    <row r="10" spans="1:14" x14ac:dyDescent="0.25">
      <c r="A10" s="32">
        <v>7</v>
      </c>
      <c r="B10" s="352" t="s">
        <v>17</v>
      </c>
      <c r="C10" s="370">
        <f>[1]STA_SP4_NO!$P$16</f>
        <v>4073.92</v>
      </c>
      <c r="D10" s="402">
        <f>[2]STA_SP4_NO!$P$16</f>
        <v>6421.54</v>
      </c>
      <c r="E10" s="370">
        <f>[3]STA_SP4_NO!$P$16</f>
        <v>3197</v>
      </c>
      <c r="F10" s="54">
        <f>[4]STA_SP4_NO!$P$16</f>
        <v>1507.44</v>
      </c>
      <c r="G10" s="62">
        <f>[5]STA_SP4_NO!$P$16</f>
        <v>1024.58</v>
      </c>
      <c r="H10" s="54">
        <f>[6]STA_SP4_NO!$P$16</f>
        <v>0</v>
      </c>
      <c r="I10" s="62">
        <f>[7]STA_SP4_NO!$P$16</f>
        <v>5449</v>
      </c>
      <c r="J10" s="54">
        <f>[8]STA_SP4_NO!$P$16</f>
        <v>450</v>
      </c>
      <c r="K10" s="62">
        <f>[9]STA_SP4_NO!$P$16</f>
        <v>734.98</v>
      </c>
      <c r="L10" s="54">
        <f>[10]STA_SP4_NO!$P$16</f>
        <v>650</v>
      </c>
      <c r="M10" s="409">
        <f>[11]STA_SP4_NO!$P$16</f>
        <v>0</v>
      </c>
      <c r="N10" s="403">
        <f t="shared" si="0"/>
        <v>23508.46</v>
      </c>
    </row>
    <row r="11" spans="1:14" x14ac:dyDescent="0.25">
      <c r="A11" s="32">
        <v>8</v>
      </c>
      <c r="B11" s="352" t="s">
        <v>18</v>
      </c>
      <c r="C11" s="370">
        <f>[1]STA_SP4_NO!$P$17</f>
        <v>59655.05</v>
      </c>
      <c r="D11" s="402">
        <f>[2]STA_SP4_NO!$P$17</f>
        <v>26067.89</v>
      </c>
      <c r="E11" s="370">
        <f>[3]STA_SP4_NO!$P$17</f>
        <v>5391</v>
      </c>
      <c r="F11" s="54">
        <f>[4]STA_SP4_NO!$P$17</f>
        <v>31120.31</v>
      </c>
      <c r="G11" s="62">
        <f>[5]STA_SP4_NO!$P$17</f>
        <v>35064.83</v>
      </c>
      <c r="H11" s="54">
        <f>[6]STA_SP4_NO!$P$17</f>
        <v>845</v>
      </c>
      <c r="I11" s="62">
        <f>[7]STA_SP4_NO!$P$17</f>
        <v>13975</v>
      </c>
      <c r="J11" s="54">
        <f>[8]STA_SP4_NO!$P$17</f>
        <v>10506</v>
      </c>
      <c r="K11" s="62">
        <f>[9]STA_SP4_NO!$P$17</f>
        <v>16381.27</v>
      </c>
      <c r="L11" s="54">
        <f>[10]STA_SP4_NO!$P$17</f>
        <v>13780</v>
      </c>
      <c r="M11" s="405">
        <f>[11]STA_SP4_NO!$P$17</f>
        <v>0</v>
      </c>
      <c r="N11" s="403">
        <f t="shared" si="0"/>
        <v>212786.35</v>
      </c>
    </row>
    <row r="12" spans="1:14" x14ac:dyDescent="0.25">
      <c r="A12" s="32">
        <v>9</v>
      </c>
      <c r="B12" s="352" t="s">
        <v>19</v>
      </c>
      <c r="C12" s="370">
        <f>[1]STA_SP4_NO!$P$20</f>
        <v>110881.46</v>
      </c>
      <c r="D12" s="402">
        <f>[2]STA_SP4_NO!$P$20</f>
        <v>39439.53</v>
      </c>
      <c r="E12" s="370">
        <f>[3]STA_SP4_NO!$P$20</f>
        <v>3128</v>
      </c>
      <c r="F12" s="54">
        <f>[4]STA_SP4_NO!$P$20</f>
        <v>50309.07</v>
      </c>
      <c r="G12" s="62">
        <f>[5]STA_SP4_NO!$P$20</f>
        <v>13025.56</v>
      </c>
      <c r="H12" s="54">
        <f>[6]STA_SP4_NO!$P$20</f>
        <v>365</v>
      </c>
      <c r="I12" s="62">
        <f>[7]STA_SP4_NO!$P$20</f>
        <v>40632</v>
      </c>
      <c r="J12" s="54">
        <f>[8]STA_SP4_NO!$P$20</f>
        <v>5115</v>
      </c>
      <c r="K12" s="62">
        <f>[9]STA_SP4_NO!$P$20</f>
        <v>33270.839999999997</v>
      </c>
      <c r="L12" s="54">
        <f>[10]STA_SP4_NO!$P$20</f>
        <v>23915</v>
      </c>
      <c r="M12" s="405">
        <f>[11]STA_SP4_NO!$P$20</f>
        <v>0</v>
      </c>
      <c r="N12" s="403">
        <f t="shared" si="0"/>
        <v>320081.45999999996</v>
      </c>
    </row>
    <row r="13" spans="1:14" x14ac:dyDescent="0.25">
      <c r="A13" s="32">
        <v>10</v>
      </c>
      <c r="B13" s="352" t="s">
        <v>20</v>
      </c>
      <c r="C13" s="370">
        <f>[1]STA_SP4_NO!$P$26</f>
        <v>158954.69</v>
      </c>
      <c r="D13" s="402">
        <f>[2]STA_SP4_NO!$P$26</f>
        <v>81415.11</v>
      </c>
      <c r="E13" s="370">
        <f>[3]STA_SP4_NO!$P$26</f>
        <v>62072</v>
      </c>
      <c r="F13" s="54">
        <f>[4]STA_SP4_NO!$P$26</f>
        <v>101416.54</v>
      </c>
      <c r="G13" s="62">
        <f>[5]STA_SP4_NO!$P$26</f>
        <v>89.08</v>
      </c>
      <c r="H13" s="54">
        <f>[6]STA_SP4_NO!$P$26</f>
        <v>119677</v>
      </c>
      <c r="I13" s="62">
        <f>[7]STA_SP4_NO!$P$26</f>
        <v>198735</v>
      </c>
      <c r="J13" s="54">
        <f>[8]STA_SP4_NO!$P$26</f>
        <v>103900</v>
      </c>
      <c r="K13" s="62">
        <f>[9]STA_SP4_NO!$P$26</f>
        <v>67597.509999999995</v>
      </c>
      <c r="L13" s="54">
        <f>[10]STA_SP4_NO!$P$26</f>
        <v>128367</v>
      </c>
      <c r="M13" s="405">
        <f>[11]STA_SP4_NO!$P$26</f>
        <v>65.77</v>
      </c>
      <c r="N13" s="403">
        <f t="shared" si="0"/>
        <v>1022289.7</v>
      </c>
    </row>
    <row r="14" spans="1:14" x14ac:dyDescent="0.25">
      <c r="A14" s="32">
        <v>11</v>
      </c>
      <c r="B14" s="352" t="s">
        <v>21</v>
      </c>
      <c r="C14" s="370">
        <f>[1]STA_SP4_NO!$P$33</f>
        <v>12.17</v>
      </c>
      <c r="D14" s="402">
        <f>[2]STA_SP4_NO!$P$33</f>
        <v>84.23</v>
      </c>
      <c r="E14" s="370">
        <f>[3]STA_SP4_NO!$P$33</f>
        <v>0</v>
      </c>
      <c r="F14" s="54">
        <f>[4]STA_SP4_NO!$P$33</f>
        <v>0</v>
      </c>
      <c r="G14" s="62">
        <f>[5]STA_SP4_NO!$P$33</f>
        <v>1947.95</v>
      </c>
      <c r="H14" s="54">
        <f>[6]STA_SP4_NO!$P$33</f>
        <v>0</v>
      </c>
      <c r="I14" s="62">
        <f>[7]STA_SP4_NO!$P$33</f>
        <v>0</v>
      </c>
      <c r="J14" s="54">
        <f>[8]STA_SP4_NO!$P$33</f>
        <v>169</v>
      </c>
      <c r="K14" s="62">
        <f>[9]STA_SP4_NO!$P$33</f>
        <v>0</v>
      </c>
      <c r="L14" s="54">
        <f>[10]STA_SP4_NO!$P$33</f>
        <v>198</v>
      </c>
      <c r="M14" s="409">
        <f>[11]STA_SP4_NO!$P$33</f>
        <v>0</v>
      </c>
      <c r="N14" s="403">
        <f t="shared" si="0"/>
        <v>2411.3500000000004</v>
      </c>
    </row>
    <row r="15" spans="1:14" x14ac:dyDescent="0.25">
      <c r="A15" s="32">
        <v>12</v>
      </c>
      <c r="B15" s="352" t="s">
        <v>22</v>
      </c>
      <c r="C15" s="370">
        <f>[1]STA_SP4_NO!$P$34</f>
        <v>14.08</v>
      </c>
      <c r="D15" s="402">
        <f>[2]STA_SP4_NO!$P$34</f>
        <v>0</v>
      </c>
      <c r="E15" s="370">
        <f>[3]STA_SP4_NO!$P$34</f>
        <v>0.01</v>
      </c>
      <c r="F15" s="54">
        <f>[4]STA_SP4_NO!$P$34</f>
        <v>51.93</v>
      </c>
      <c r="G15" s="62">
        <f>[5]STA_SP4_NO!$P$34</f>
        <v>39.67</v>
      </c>
      <c r="H15" s="54">
        <f>[6]STA_SP4_NO!$P$34</f>
        <v>0</v>
      </c>
      <c r="I15" s="62">
        <f>[7]STA_SP4_NO!$P$34</f>
        <v>57</v>
      </c>
      <c r="J15" s="54">
        <f>[8]STA_SP4_NO!$P$34</f>
        <v>9</v>
      </c>
      <c r="K15" s="62">
        <f>[9]STA_SP4_NO!$P$34</f>
        <v>10.23</v>
      </c>
      <c r="L15" s="54">
        <f>[10]STA_SP4_NO!$P$34</f>
        <v>4</v>
      </c>
      <c r="M15" s="409">
        <f>[11]STA_SP4_NO!$P$34</f>
        <v>0</v>
      </c>
      <c r="N15" s="403">
        <f t="shared" si="0"/>
        <v>185.92</v>
      </c>
    </row>
    <row r="16" spans="1:14" x14ac:dyDescent="0.25">
      <c r="A16" s="32">
        <v>13</v>
      </c>
      <c r="B16" s="352" t="s">
        <v>67</v>
      </c>
      <c r="C16" s="370">
        <f>[1]STA_SP4_NO!$P$35</f>
        <v>8500.9</v>
      </c>
      <c r="D16" s="402">
        <f>[2]STA_SP4_NO!$P$35</f>
        <v>14272.69</v>
      </c>
      <c r="E16" s="370">
        <f>[3]STA_SP4_NO!$P$35</f>
        <v>1288</v>
      </c>
      <c r="F16" s="54">
        <f>[4]STA_SP4_NO!$P$35</f>
        <v>8183.27</v>
      </c>
      <c r="G16" s="62">
        <f>[5]STA_SP4_NO!$P$35</f>
        <v>14900</v>
      </c>
      <c r="H16" s="54">
        <f>[6]STA_SP4_NO!$P$35</f>
        <v>393</v>
      </c>
      <c r="I16" s="62">
        <f>[7]STA_SP4_NO!$P$35</f>
        <v>13880</v>
      </c>
      <c r="J16" s="54">
        <f>[8]STA_SP4_NO!$P$35</f>
        <v>6364</v>
      </c>
      <c r="K16" s="62">
        <f>[9]STA_SP4_NO!$P$35</f>
        <v>12188.63</v>
      </c>
      <c r="L16" s="54">
        <f>[10]STA_SP4_NO!$P$35</f>
        <v>4775</v>
      </c>
      <c r="M16" s="405">
        <f>[11]STA_SP4_NO!$P$35</f>
        <v>0</v>
      </c>
      <c r="N16" s="403">
        <f t="shared" si="0"/>
        <v>84745.49</v>
      </c>
    </row>
    <row r="17" spans="1:14" x14ac:dyDescent="0.25">
      <c r="A17" s="32">
        <v>14</v>
      </c>
      <c r="B17" s="352" t="s">
        <v>24</v>
      </c>
      <c r="C17" s="370">
        <f>[1]STA_SP4_NO!$P$36</f>
        <v>1872.96</v>
      </c>
      <c r="D17" s="402">
        <f>[2]STA_SP4_NO!$P$36</f>
        <v>894.59</v>
      </c>
      <c r="E17" s="370">
        <f>[3]STA_SP4_NO!$P$36</f>
        <v>11</v>
      </c>
      <c r="F17" s="54">
        <f>[4]STA_SP4_NO!$P$36</f>
        <v>1419.77</v>
      </c>
      <c r="G17" s="62">
        <f>[5]STA_SP4_NO!$P$36</f>
        <v>0</v>
      </c>
      <c r="H17" s="54">
        <f>[6]STA_SP4_NO!$P$36</f>
        <v>0</v>
      </c>
      <c r="I17" s="62">
        <f>[7]STA_SP4_NO!$P$36</f>
        <v>0</v>
      </c>
      <c r="J17" s="54">
        <f>[8]STA_SP4_NO!$P$36</f>
        <v>0</v>
      </c>
      <c r="K17" s="62">
        <f>[9]STA_SP4_NO!$P$36</f>
        <v>22405.09</v>
      </c>
      <c r="L17" s="54">
        <f>[10]STA_SP4_NO!$P$36</f>
        <v>1790</v>
      </c>
      <c r="M17" s="409">
        <f>[11]STA_SP4_NO!$P$36</f>
        <v>0</v>
      </c>
      <c r="N17" s="403">
        <f t="shared" si="0"/>
        <v>28393.41</v>
      </c>
    </row>
    <row r="18" spans="1:14" x14ac:dyDescent="0.25">
      <c r="A18" s="32">
        <v>15</v>
      </c>
      <c r="B18" s="352" t="s">
        <v>25</v>
      </c>
      <c r="C18" s="370">
        <f>[1]STA_SP4_NO!$P$37</f>
        <v>0</v>
      </c>
      <c r="D18" s="402">
        <f>[2]STA_SP4_NO!$P$37</f>
        <v>0</v>
      </c>
      <c r="E18" s="370">
        <f>[3]STA_SP4_NO!$P$37</f>
        <v>1418</v>
      </c>
      <c r="F18" s="54">
        <f>[4]STA_SP4_NO!$P$37</f>
        <v>3.33</v>
      </c>
      <c r="G18" s="62">
        <f>[5]STA_SP4_NO!$P$37</f>
        <v>1.01</v>
      </c>
      <c r="H18" s="54">
        <f>[6]STA_SP4_NO!$P$37</f>
        <v>0</v>
      </c>
      <c r="I18" s="62">
        <f>[7]STA_SP4_NO!$P$37</f>
        <v>0</v>
      </c>
      <c r="J18" s="54">
        <f>[8]STA_SP4_NO!$P$37</f>
        <v>0</v>
      </c>
      <c r="K18" s="62">
        <f>[9]STA_SP4_NO!$P$37</f>
        <v>29.1</v>
      </c>
      <c r="L18" s="54">
        <f>[10]STA_SP4_NO!$P$37</f>
        <v>0</v>
      </c>
      <c r="M18" s="409">
        <f>[11]STA_SP4_NO!$P$37</f>
        <v>0</v>
      </c>
      <c r="N18" s="403">
        <f t="shared" si="0"/>
        <v>1451.4399999999998</v>
      </c>
    </row>
    <row r="19" spans="1:14" x14ac:dyDescent="0.25">
      <c r="A19" s="32">
        <v>16</v>
      </c>
      <c r="B19" s="352" t="s">
        <v>26</v>
      </c>
      <c r="C19" s="370">
        <f>[1]STA_SP4_NO!$P$38</f>
        <v>1291.31</v>
      </c>
      <c r="D19" s="402">
        <f>[2]STA_SP4_NO!$P$38</f>
        <v>17672.23</v>
      </c>
      <c r="E19" s="370">
        <f>[3]STA_SP4_NO!$P$38</f>
        <v>2</v>
      </c>
      <c r="F19" s="54">
        <f>[4]STA_SP4_NO!$P$38</f>
        <v>6813.42</v>
      </c>
      <c r="G19" s="62">
        <f>[5]STA_SP4_NO!$P$38</f>
        <v>76.540000000000006</v>
      </c>
      <c r="H19" s="54">
        <f>[6]STA_SP4_NO!$P$38</f>
        <v>0</v>
      </c>
      <c r="I19" s="62">
        <f>[7]STA_SP4_NO!$P$38</f>
        <v>2134</v>
      </c>
      <c r="J19" s="54">
        <f>[8]STA_SP4_NO!$P$38</f>
        <v>0</v>
      </c>
      <c r="K19" s="62">
        <f>[9]STA_SP4_NO!$P$38</f>
        <v>2940.75</v>
      </c>
      <c r="L19" s="54">
        <f>[10]STA_SP4_NO!$P$38</f>
        <v>171</v>
      </c>
      <c r="M19" s="409">
        <f>[11]STA_SP4_NO!$P$38</f>
        <v>0</v>
      </c>
      <c r="N19" s="403">
        <f t="shared" si="0"/>
        <v>31101.25</v>
      </c>
    </row>
    <row r="20" spans="1:14" x14ac:dyDescent="0.25">
      <c r="A20" s="32">
        <v>17</v>
      </c>
      <c r="B20" s="352" t="s">
        <v>27</v>
      </c>
      <c r="C20" s="370">
        <f>[1]STA_SP4_NO!$P$39</f>
        <v>0</v>
      </c>
      <c r="D20" s="402">
        <f>[2]STA_SP4_NO!$P$39</f>
        <v>0</v>
      </c>
      <c r="E20" s="370">
        <f>[3]STA_SP4_NO!$P$39</f>
        <v>0</v>
      </c>
      <c r="F20" s="54">
        <f>[4]STA_SP4_NO!$P$39</f>
        <v>0</v>
      </c>
      <c r="G20" s="62">
        <f>[5]STA_SP4_NO!$P$39</f>
        <v>0</v>
      </c>
      <c r="H20" s="54">
        <f>[6]STA_SP4_NO!$P$39</f>
        <v>0</v>
      </c>
      <c r="I20" s="62">
        <f>[7]STA_SP4_NO!$P$39</f>
        <v>0</v>
      </c>
      <c r="J20" s="54">
        <f>[8]STA_SP4_NO!$P$39</f>
        <v>0</v>
      </c>
      <c r="K20" s="62">
        <f>[9]STA_SP4_NO!$P$39</f>
        <v>0</v>
      </c>
      <c r="L20" s="54">
        <f>[10]STA_SP4_NO!$P$39</f>
        <v>0</v>
      </c>
      <c r="M20" s="409">
        <f>[11]STA_SP4_NO!$P$39</f>
        <v>0</v>
      </c>
      <c r="N20" s="403">
        <f t="shared" si="0"/>
        <v>0</v>
      </c>
    </row>
    <row r="21" spans="1:14" ht="15.75" thickBot="1" x14ac:dyDescent="0.3">
      <c r="A21" s="34">
        <v>18</v>
      </c>
      <c r="B21" s="353" t="s">
        <v>28</v>
      </c>
      <c r="C21" s="370">
        <f>[1]STA_SP4_NO!$P$40</f>
        <v>2525.4899999999998</v>
      </c>
      <c r="D21" s="402">
        <f>[2]STA_SP4_NO!$P$40</f>
        <v>6417.2</v>
      </c>
      <c r="E21" s="370">
        <f>[3]STA_SP4_NO!$P$40</f>
        <v>1125</v>
      </c>
      <c r="F21" s="54">
        <f>[4]STA_SP4_NO!$P$40</f>
        <v>7172.47</v>
      </c>
      <c r="G21" s="62">
        <f>[5]STA_SP4_NO!$P$40</f>
        <v>5465.55</v>
      </c>
      <c r="H21" s="54">
        <f>[6]STA_SP4_NO!$P$40</f>
        <v>985</v>
      </c>
      <c r="I21" s="62">
        <f>[7]STA_SP4_NO!$P$40</f>
        <v>3794</v>
      </c>
      <c r="J21" s="54">
        <f>[8]STA_SP4_NO!$P$40</f>
        <v>2562</v>
      </c>
      <c r="K21" s="62">
        <f>[9]STA_SP4_NO!$P$40</f>
        <v>2334.0100000000002</v>
      </c>
      <c r="L21" s="54">
        <f>[10]STA_SP4_NO!$P$40</f>
        <v>3394</v>
      </c>
      <c r="M21" s="409">
        <f>[11]STA_SP4_NO!$P$40</f>
        <v>0</v>
      </c>
      <c r="N21" s="403">
        <f t="shared" si="0"/>
        <v>35774.720000000001</v>
      </c>
    </row>
    <row r="22" spans="1:14" ht="15.75" thickBot="1" x14ac:dyDescent="0.3">
      <c r="A22" s="36"/>
      <c r="B22" s="366" t="s">
        <v>36</v>
      </c>
      <c r="C22" s="361">
        <f t="shared" ref="C22:D22" si="1">SUM(C4:C21)</f>
        <v>491270.78000000009</v>
      </c>
      <c r="D22" s="363">
        <f t="shared" si="1"/>
        <v>368931.82</v>
      </c>
      <c r="E22" s="359">
        <f t="shared" ref="E22:M22" si="2">SUM(E4:E21)</f>
        <v>104357.01</v>
      </c>
      <c r="F22" s="362">
        <f t="shared" si="2"/>
        <v>306167.32</v>
      </c>
      <c r="G22" s="350">
        <f t="shared" si="2"/>
        <v>204989.19999999998</v>
      </c>
      <c r="H22" s="362">
        <f t="shared" si="2"/>
        <v>137126</v>
      </c>
      <c r="I22" s="350">
        <f t="shared" si="2"/>
        <v>344488</v>
      </c>
      <c r="J22" s="362">
        <f t="shared" si="2"/>
        <v>159991</v>
      </c>
      <c r="K22" s="350">
        <f t="shared" si="2"/>
        <v>270619.74</v>
      </c>
      <c r="L22" s="363">
        <f t="shared" si="2"/>
        <v>332652</v>
      </c>
      <c r="M22" s="406">
        <f t="shared" si="2"/>
        <v>65.77</v>
      </c>
      <c r="N22" s="236">
        <f t="shared" si="0"/>
        <v>2720658.64</v>
      </c>
    </row>
    <row r="23" spans="1:14" ht="15.75" thickBot="1" x14ac:dyDescent="0.3">
      <c r="A23" s="43"/>
      <c r="B23" s="44"/>
      <c r="C23" s="59"/>
      <c r="D23" s="46"/>
      <c r="E23" s="59"/>
      <c r="F23" s="46"/>
      <c r="G23" s="46"/>
      <c r="H23" s="59"/>
      <c r="I23" s="46"/>
      <c r="J23" s="59"/>
      <c r="K23" s="46"/>
      <c r="L23" s="59"/>
      <c r="M23" s="348"/>
      <c r="N23" s="46"/>
    </row>
    <row r="24" spans="1:14" ht="15.75" thickBot="1" x14ac:dyDescent="0.3">
      <c r="A24" s="457" t="s">
        <v>52</v>
      </c>
      <c r="B24" s="458"/>
      <c r="C24" s="55">
        <f>C22/N22</f>
        <v>0.18057053272953055</v>
      </c>
      <c r="D24" s="56">
        <f>D22/N22</f>
        <v>0.13560386245295367</v>
      </c>
      <c r="E24" s="48">
        <f>E22/N22</f>
        <v>3.8357259696497607E-2</v>
      </c>
      <c r="F24" s="47">
        <f>F22/N22</f>
        <v>0.11253426486462852</v>
      </c>
      <c r="G24" s="70">
        <f>G22/N22</f>
        <v>7.5345431795883058E-2</v>
      </c>
      <c r="H24" s="47">
        <f>H22/N22</f>
        <v>5.0401765948851263E-2</v>
      </c>
      <c r="I24" s="404">
        <f>I22/N22</f>
        <v>0.12661933949935006</v>
      </c>
      <c r="J24" s="47">
        <f>J22/N22</f>
        <v>5.8805980892920835E-2</v>
      </c>
      <c r="K24" s="404">
        <f>K22/N22</f>
        <v>9.9468465474227954E-2</v>
      </c>
      <c r="L24" s="47">
        <f>L22/N22</f>
        <v>0.12226892235183168</v>
      </c>
      <c r="M24" s="342">
        <f>M22/N22</f>
        <v>2.4174293324795791E-5</v>
      </c>
      <c r="N24" s="258">
        <f>SUM(C24:M24)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1"/>
    </row>
    <row r="26" spans="1:14" ht="15.75" thickBot="1" x14ac:dyDescent="0.3">
      <c r="A26" s="436" t="s">
        <v>0</v>
      </c>
      <c r="B26" s="438" t="s">
        <v>1</v>
      </c>
      <c r="C26" s="483" t="s">
        <v>89</v>
      </c>
      <c r="D26" s="484"/>
      <c r="E26" s="484"/>
      <c r="F26" s="484"/>
      <c r="G26" s="484"/>
      <c r="H26" s="485"/>
      <c r="I26" s="452" t="s">
        <v>3</v>
      </c>
      <c r="J26" s="1"/>
      <c r="K26" s="1"/>
      <c r="L26" s="1"/>
      <c r="M26" s="1"/>
      <c r="N26" s="1"/>
    </row>
    <row r="27" spans="1:14" ht="15.75" thickBot="1" x14ac:dyDescent="0.3">
      <c r="A27" s="437"/>
      <c r="B27" s="440"/>
      <c r="C27" s="189" t="s">
        <v>10</v>
      </c>
      <c r="D27" s="215" t="s">
        <v>31</v>
      </c>
      <c r="E27" s="191" t="s">
        <v>7</v>
      </c>
      <c r="F27" s="127" t="s">
        <v>96</v>
      </c>
      <c r="G27" s="168" t="s">
        <v>4</v>
      </c>
      <c r="H27" s="210" t="s">
        <v>94</v>
      </c>
      <c r="I27" s="554"/>
      <c r="J27" s="81"/>
      <c r="K27" s="424" t="s">
        <v>32</v>
      </c>
      <c r="L27" s="425"/>
      <c r="M27" s="232">
        <f>N22</f>
        <v>2720658.64</v>
      </c>
      <c r="N27" s="233">
        <f>M27/M29</f>
        <v>0.80838135590329641</v>
      </c>
    </row>
    <row r="28" spans="1:14" ht="15.75" thickBot="1" x14ac:dyDescent="0.3">
      <c r="A28" s="22">
        <v>19</v>
      </c>
      <c r="B28" s="128" t="s">
        <v>33</v>
      </c>
      <c r="C28" s="193">
        <f>[12]STA_SP1_ZO!$Q$51</f>
        <v>133999</v>
      </c>
      <c r="D28" s="200">
        <f>[13]STA_SP1_ZO!$Q$51</f>
        <v>92046</v>
      </c>
      <c r="E28" s="194">
        <f>[14]STA_SP1_ZO!$Q$51</f>
        <v>139093.45000000001</v>
      </c>
      <c r="F28" s="50">
        <f>[15]STA_SP1_ZO!$Q$51</f>
        <v>85468</v>
      </c>
      <c r="G28" s="115">
        <f>[16]STA_SP1_ZO!$Q$51</f>
        <v>188789.24</v>
      </c>
      <c r="H28" s="50">
        <f>[17]STA_SP1_ZO!$Q$51</f>
        <v>5508.99</v>
      </c>
      <c r="I28" s="244">
        <f>SUM(C28:H28)</f>
        <v>644904.67999999993</v>
      </c>
      <c r="J28" s="81"/>
      <c r="K28" s="424" t="s">
        <v>33</v>
      </c>
      <c r="L28" s="425"/>
      <c r="M28" s="255">
        <f>I28</f>
        <v>644904.67999999993</v>
      </c>
      <c r="N28" s="235">
        <f>M28/M29</f>
        <v>0.19161864409670351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24" t="s">
        <v>3</v>
      </c>
      <c r="L29" s="425"/>
      <c r="M29" s="236">
        <f>M27+M28</f>
        <v>3365563.3200000003</v>
      </c>
      <c r="N29" s="237">
        <f>M29/M29</f>
        <v>1</v>
      </c>
    </row>
    <row r="30" spans="1:14" ht="15.75" thickBot="1" x14ac:dyDescent="0.3">
      <c r="A30" s="428" t="s">
        <v>52</v>
      </c>
      <c r="B30" s="429"/>
      <c r="C30" s="23">
        <f>C28/I28</f>
        <v>0.20778109409905354</v>
      </c>
      <c r="D30" s="82">
        <f>D28/I28</f>
        <v>0.14272806951873881</v>
      </c>
      <c r="E30" s="23">
        <f>E28/I28</f>
        <v>0.2156806336092956</v>
      </c>
      <c r="F30" s="82">
        <f>F28/I28</f>
        <v>0.13252811252664504</v>
      </c>
      <c r="G30" s="23">
        <f>G28/I28</f>
        <v>0.29273975806781244</v>
      </c>
      <c r="H30" s="82">
        <f>H28/I28</f>
        <v>8.5423321784546518E-3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N2:N3"/>
    <mergeCell ref="A30:B30"/>
    <mergeCell ref="K28:L28"/>
    <mergeCell ref="C1:I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E22" sqref="E22"/>
    </sheetView>
  </sheetViews>
  <sheetFormatPr defaultRowHeight="15" x14ac:dyDescent="0.25"/>
  <cols>
    <col min="1" max="1" width="4.7109375" customWidth="1"/>
    <col min="2" max="2" width="20.28515625" customWidth="1"/>
    <col min="8" max="8" width="11.42578125" customWidth="1"/>
    <col min="14" max="14" width="11.7109375" customWidth="1"/>
  </cols>
  <sheetData>
    <row r="1" spans="1:15" x14ac:dyDescent="0.25">
      <c r="A1" s="1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568" t="s">
        <v>117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70"/>
      <c r="M2" s="1"/>
      <c r="N2" s="1"/>
    </row>
    <row r="3" spans="1:15" ht="15.75" thickBot="1" x14ac:dyDescent="0.3">
      <c r="A3" s="26"/>
      <c r="B3" s="498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26"/>
      <c r="N3" s="155" t="s">
        <v>90</v>
      </c>
    </row>
    <row r="4" spans="1:15" ht="15.75" thickBot="1" x14ac:dyDescent="0.3">
      <c r="A4" s="472" t="s">
        <v>0</v>
      </c>
      <c r="B4" s="577" t="s">
        <v>88</v>
      </c>
      <c r="C4" s="377" t="s">
        <v>2</v>
      </c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566" t="s">
        <v>3</v>
      </c>
    </row>
    <row r="5" spans="1:15" ht="15.75" thickBot="1" x14ac:dyDescent="0.3">
      <c r="A5" s="473"/>
      <c r="B5" s="576"/>
      <c r="C5" s="264" t="s">
        <v>68</v>
      </c>
      <c r="D5" s="171" t="s">
        <v>4</v>
      </c>
      <c r="E5" s="170" t="s">
        <v>5</v>
      </c>
      <c r="F5" s="411" t="s">
        <v>6</v>
      </c>
      <c r="G5" s="171" t="s">
        <v>8</v>
      </c>
      <c r="H5" s="228" t="s">
        <v>93</v>
      </c>
      <c r="I5" s="171" t="s">
        <v>96</v>
      </c>
      <c r="J5" s="265" t="s">
        <v>9</v>
      </c>
      <c r="K5" s="171" t="s">
        <v>92</v>
      </c>
      <c r="L5" s="169" t="s">
        <v>10</v>
      </c>
      <c r="M5" s="266" t="s">
        <v>95</v>
      </c>
      <c r="N5" s="567"/>
    </row>
    <row r="6" spans="1:15" ht="37.5" customHeight="1" x14ac:dyDescent="0.25">
      <c r="A6" s="30">
        <v>1</v>
      </c>
      <c r="B6" s="60" t="s">
        <v>58</v>
      </c>
      <c r="C6" s="67">
        <f>[1]STA_SP5_NO!$E$41</f>
        <v>902629.92</v>
      </c>
      <c r="D6" s="68">
        <f>[2]STA_SP5_NO!$E$41</f>
        <v>953244.95</v>
      </c>
      <c r="E6" s="61">
        <f>[3]STA_SP5_NO!$E$41</f>
        <v>205822</v>
      </c>
      <c r="F6" s="118">
        <f>[4]STA_SP5_NO!$E$41</f>
        <v>315438.28999999998</v>
      </c>
      <c r="G6" s="68">
        <f>[5]STA_SP5_NO!$E$41</f>
        <v>372326.77</v>
      </c>
      <c r="H6" s="117">
        <f>[6]STA_SP5_NO!$E$41</f>
        <v>201796.74</v>
      </c>
      <c r="I6" s="68">
        <f>[7]STA_SP5_NO!$E$41</f>
        <v>298123</v>
      </c>
      <c r="J6" s="74">
        <f>[8]STA_SP5_NO!$E$41</f>
        <v>218822</v>
      </c>
      <c r="K6" s="68">
        <f>[9]STA_SP5_NO!$E$41</f>
        <v>243688.72</v>
      </c>
      <c r="L6" s="262">
        <f>[10]STA_SP5_NO!$E$41</f>
        <v>329906</v>
      </c>
      <c r="M6" s="260">
        <f>[11]STA_SP5_NO!$E$41</f>
        <v>9904.19</v>
      </c>
      <c r="N6" s="267">
        <f>SUM(C6:M6)</f>
        <v>4051702.58</v>
      </c>
    </row>
    <row r="7" spans="1:15" ht="37.5" customHeight="1" thickBot="1" x14ac:dyDescent="0.3">
      <c r="A7" s="83">
        <v>2</v>
      </c>
      <c r="B7" s="84" t="s">
        <v>59</v>
      </c>
      <c r="C7" s="85">
        <f>[1]STA_SP5_NO!$G$41</f>
        <v>385849.62</v>
      </c>
      <c r="D7" s="86">
        <f>[2]STA_SP5_NO!$G$41</f>
        <v>279339.94</v>
      </c>
      <c r="E7" s="87">
        <f>[3]STA_SP5_NO!$G$41</f>
        <v>247338</v>
      </c>
      <c r="F7" s="412">
        <f>[4]STA_SP5_NO!$G$41</f>
        <v>257010.92</v>
      </c>
      <c r="G7" s="86">
        <f>[5]STA_SP5_NO!$G$41</f>
        <v>313264.55</v>
      </c>
      <c r="H7" s="410">
        <f>[6]STA_SP5_NO!$G$41</f>
        <v>173008.27</v>
      </c>
      <c r="I7" s="86">
        <f>[7]STA_SP5_NO!$G$41</f>
        <v>364946</v>
      </c>
      <c r="J7" s="87">
        <f>[8]STA_SP5_NO!$G$41</f>
        <v>313032.43</v>
      </c>
      <c r="K7" s="68">
        <f>[9]STA_SP5_NO!$G$41</f>
        <v>251676.76</v>
      </c>
      <c r="L7" s="263">
        <f>[10]STA_SP5_NO!$G$41</f>
        <v>460156</v>
      </c>
      <c r="M7" s="186">
        <f>[11]STA_SP5_NO!$G$41</f>
        <v>35814.71</v>
      </c>
      <c r="N7" s="268">
        <f>SUM(C7:M7)</f>
        <v>3081437.2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472" t="s">
        <v>0</v>
      </c>
      <c r="B10" s="575" t="s">
        <v>88</v>
      </c>
      <c r="C10" s="580" t="s">
        <v>89</v>
      </c>
      <c r="D10" s="580"/>
      <c r="E10" s="580"/>
      <c r="F10" s="580"/>
      <c r="G10" s="580"/>
      <c r="H10" s="580"/>
      <c r="I10" s="578" t="s">
        <v>3</v>
      </c>
      <c r="K10" s="558" t="s">
        <v>80</v>
      </c>
      <c r="L10" s="559"/>
      <c r="M10" s="562" t="s">
        <v>2</v>
      </c>
      <c r="N10" s="564" t="s">
        <v>89</v>
      </c>
      <c r="O10" s="556" t="s">
        <v>3</v>
      </c>
    </row>
    <row r="11" spans="1:15" ht="15.75" thickBot="1" x14ac:dyDescent="0.3">
      <c r="A11" s="473"/>
      <c r="B11" s="576"/>
      <c r="C11" s="169" t="s">
        <v>10</v>
      </c>
      <c r="D11" s="195" t="s">
        <v>31</v>
      </c>
      <c r="E11" s="170" t="s">
        <v>7</v>
      </c>
      <c r="F11" s="171" t="s">
        <v>96</v>
      </c>
      <c r="G11" s="170" t="s">
        <v>4</v>
      </c>
      <c r="H11" s="216" t="s">
        <v>94</v>
      </c>
      <c r="I11" s="579"/>
      <c r="K11" s="560"/>
      <c r="L11" s="561"/>
      <c r="M11" s="563"/>
      <c r="N11" s="565"/>
      <c r="O11" s="557"/>
    </row>
    <row r="12" spans="1:15" ht="37.5" customHeight="1" thickBot="1" x14ac:dyDescent="0.3">
      <c r="A12" s="96">
        <v>1</v>
      </c>
      <c r="B12" s="60" t="s">
        <v>58</v>
      </c>
      <c r="C12" s="97">
        <f>[12]STA_SP4_ZO!$G$51</f>
        <v>21126</v>
      </c>
      <c r="D12" s="201">
        <f>[13]STA_SP4_ZO!$G$51</f>
        <v>50154</v>
      </c>
      <c r="E12" s="99">
        <f>[14]STA_SP4_ZO!$G$51</f>
        <v>9297.24</v>
      </c>
      <c r="F12" s="98">
        <f>[15]STA_SP4_ZO!$G$51</f>
        <v>10927</v>
      </c>
      <c r="G12" s="100">
        <f>[16]STA_SP4_ZO!$G$51</f>
        <v>3707.81</v>
      </c>
      <c r="H12" s="172">
        <f>[17]STA_SP4_ZO!$G$51</f>
        <v>187.55</v>
      </c>
      <c r="I12" s="271">
        <f>SUM(C12:H12)</f>
        <v>95399.6</v>
      </c>
      <c r="K12" s="571" t="s">
        <v>58</v>
      </c>
      <c r="L12" s="572"/>
      <c r="M12" s="105">
        <f>N6</f>
        <v>4051702.58</v>
      </c>
      <c r="N12" s="114">
        <f>I12</f>
        <v>95399.6</v>
      </c>
      <c r="O12" s="269">
        <f>SUM(M12:N12)</f>
        <v>4147102.18</v>
      </c>
    </row>
    <row r="13" spans="1:15" ht="37.5" customHeight="1" thickBot="1" x14ac:dyDescent="0.3">
      <c r="A13" s="83">
        <v>2</v>
      </c>
      <c r="B13" s="84" t="s">
        <v>59</v>
      </c>
      <c r="C13" s="101">
        <f>[12]STA_SP4_ZO!$H$51</f>
        <v>7236</v>
      </c>
      <c r="D13" s="202">
        <f>[13]STA_SP4_ZO!$H$51</f>
        <v>9580</v>
      </c>
      <c r="E13" s="103">
        <f>[14]STA_SP4_ZO!$H$51</f>
        <v>13502.75</v>
      </c>
      <c r="F13" s="102">
        <f>[15]STA_SP4_ZO!$H$51</f>
        <v>2029</v>
      </c>
      <c r="G13" s="104">
        <f>[16]STA_SP4_ZO!$H$51</f>
        <v>1867.5</v>
      </c>
      <c r="H13" s="95">
        <f>[17]STA_SP4_ZO!$H$51</f>
        <v>216.89</v>
      </c>
      <c r="I13" s="272">
        <f>SUM(C13:H13)</f>
        <v>34432.14</v>
      </c>
      <c r="K13" s="573" t="s">
        <v>59</v>
      </c>
      <c r="L13" s="574"/>
      <c r="M13" s="106">
        <f>N7</f>
        <v>3081437.2</v>
      </c>
      <c r="N13" s="114">
        <f>I13</f>
        <v>34432.14</v>
      </c>
      <c r="O13" s="270">
        <f>SUM(M13:N13)</f>
        <v>3115869.3400000003</v>
      </c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A2:L2"/>
    <mergeCell ref="K12:L12"/>
    <mergeCell ref="K13:L13"/>
    <mergeCell ref="B10:B11"/>
    <mergeCell ref="A10:A11"/>
    <mergeCell ref="B3:L3"/>
    <mergeCell ref="A4:A5"/>
    <mergeCell ref="B4:B5"/>
    <mergeCell ref="I10:I11"/>
    <mergeCell ref="C10:H10"/>
    <mergeCell ref="O10:O11"/>
    <mergeCell ref="K10:L11"/>
    <mergeCell ref="M10:M11"/>
    <mergeCell ref="N10:N11"/>
    <mergeCell ref="N4:N5"/>
  </mergeCells>
  <pageMargins left="0.25" right="0.25" top="0.75" bottom="0.75" header="0.3" footer="0.3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7" workbookViewId="0">
      <selection activeCell="O25" sqref="O25"/>
    </sheetView>
  </sheetViews>
  <sheetFormatPr defaultRowHeight="15" x14ac:dyDescent="0.25"/>
  <cols>
    <col min="1" max="1" width="25.7109375" customWidth="1"/>
    <col min="12" max="12" width="10.5703125" customWidth="1"/>
    <col min="13" max="13" width="10.28515625" customWidth="1"/>
    <col min="14" max="14" width="11.5703125" customWidth="1"/>
  </cols>
  <sheetData>
    <row r="1" spans="1:13" ht="11.25" customHeight="1" thickBot="1" x14ac:dyDescent="0.3">
      <c r="A1" s="119"/>
      <c r="B1" s="119"/>
      <c r="C1" s="158" t="s">
        <v>118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5.75" thickBot="1" x14ac:dyDescent="0.3">
      <c r="A2" s="77"/>
      <c r="B2" s="78" t="s">
        <v>68</v>
      </c>
      <c r="C2" s="64" t="s">
        <v>4</v>
      </c>
      <c r="D2" s="65" t="s">
        <v>5</v>
      </c>
      <c r="E2" s="64" t="s">
        <v>6</v>
      </c>
      <c r="F2" s="64" t="s">
        <v>8</v>
      </c>
      <c r="G2" s="21" t="s">
        <v>93</v>
      </c>
      <c r="H2" s="64" t="s">
        <v>96</v>
      </c>
      <c r="I2" s="65" t="s">
        <v>9</v>
      </c>
      <c r="J2" s="64" t="s">
        <v>92</v>
      </c>
      <c r="K2" s="63" t="s">
        <v>10</v>
      </c>
      <c r="L2" s="273" t="s">
        <v>95</v>
      </c>
      <c r="M2" s="64" t="s">
        <v>3</v>
      </c>
    </row>
    <row r="3" spans="1:13" x14ac:dyDescent="0.25">
      <c r="A3" s="123" t="s">
        <v>69</v>
      </c>
      <c r="B3" s="75"/>
      <c r="C3" s="75"/>
      <c r="D3" s="76"/>
      <c r="E3" s="75"/>
      <c r="F3" s="75"/>
      <c r="G3" s="75"/>
      <c r="H3" s="75"/>
      <c r="I3" s="76"/>
      <c r="J3" s="75"/>
      <c r="K3" s="274"/>
      <c r="L3" s="76"/>
      <c r="M3" s="75"/>
    </row>
    <row r="4" spans="1:13" x14ac:dyDescent="0.25">
      <c r="A4" s="124" t="s">
        <v>75</v>
      </c>
      <c r="B4" s="149">
        <f>[1]STA_SP7_NO!$C$9</f>
        <v>2017</v>
      </c>
      <c r="C4" s="149">
        <f>[2]STA_SP7_NO!$C$9</f>
        <v>32034</v>
      </c>
      <c r="D4" s="150">
        <f>[3]STA_SP7_NO!$C$9</f>
        <v>2861</v>
      </c>
      <c r="E4" s="149">
        <f>[4]STA_SP7_NO!$C$9</f>
        <v>20912</v>
      </c>
      <c r="F4" s="149">
        <f>[5]STA_SP7_NO!$C$9</f>
        <v>32570</v>
      </c>
      <c r="G4" s="149">
        <f>[6]STA_SP7_NO!$C$9</f>
        <v>79</v>
      </c>
      <c r="H4" s="149">
        <f>[7]STA_SP7_NO!$C$9</f>
        <v>4409</v>
      </c>
      <c r="I4" s="149">
        <f>[8]STA_SP7_NO!$C$9</f>
        <v>23037</v>
      </c>
      <c r="J4" s="149">
        <f>[9]STA_SP7_NO!$C$9</f>
        <v>2007</v>
      </c>
      <c r="K4" s="149">
        <f>[10]STA_SP7_NO!$C$9</f>
        <v>20595</v>
      </c>
      <c r="L4" s="290">
        <f>[11]STA_SP7_NO!$C$9</f>
        <v>12</v>
      </c>
      <c r="M4" s="149">
        <f>SUM(B4:L4)</f>
        <v>140533</v>
      </c>
    </row>
    <row r="5" spans="1:13" x14ac:dyDescent="0.25">
      <c r="A5" s="124" t="s">
        <v>76</v>
      </c>
      <c r="B5" s="149">
        <f>[1]STA_SP7_NO!$D$9</f>
        <v>169339.43</v>
      </c>
      <c r="C5" s="149">
        <f>[2]STA_SP7_NO!$D$9</f>
        <v>393267.61</v>
      </c>
      <c r="D5" s="150">
        <f>[3]STA_SP7_NO!$D$9</f>
        <v>31109</v>
      </c>
      <c r="E5" s="149">
        <f>[4]STA_SP7_NO!$D$9</f>
        <v>214328.17</v>
      </c>
      <c r="F5" s="149">
        <f>[5]STA_SP7_NO!$D$9</f>
        <v>279515.88</v>
      </c>
      <c r="G5" s="149">
        <f>[6]STA_SP7_NO!$D$9</f>
        <v>223.26</v>
      </c>
      <c r="H5" s="149">
        <f>[7]STA_SP7_NO!$D$9</f>
        <v>70595</v>
      </c>
      <c r="I5" s="149">
        <f>[8]STA_SP7_NO!$D$9</f>
        <v>149473</v>
      </c>
      <c r="J5" s="149">
        <f>[9]STA_SP7_NO!$D$9</f>
        <v>18382.060000000001</v>
      </c>
      <c r="K5" s="149">
        <f>[10]STA_SP7_NO!$D$9</f>
        <v>249002</v>
      </c>
      <c r="L5" s="291">
        <f>[11]STA_SP7_NO!$D$9</f>
        <v>41.21</v>
      </c>
      <c r="M5" s="149">
        <f>SUM(B5:L5)</f>
        <v>1575276.62</v>
      </c>
    </row>
    <row r="6" spans="1:13" x14ac:dyDescent="0.25">
      <c r="A6" s="124" t="s">
        <v>57</v>
      </c>
      <c r="B6" s="149">
        <f>[1]STA_SP7_NO!$E$9</f>
        <v>0</v>
      </c>
      <c r="C6" s="149">
        <f>[2]STA_SP7_NO!$E$9</f>
        <v>0</v>
      </c>
      <c r="D6" s="150">
        <f>[3]STA_SP7_NO!$E$9</f>
        <v>0</v>
      </c>
      <c r="E6" s="149">
        <f>[4]STA_SP7_NO!$E$9</f>
        <v>0</v>
      </c>
      <c r="F6" s="149">
        <f>[5]STA_SP7_NO!$E$9</f>
        <v>0</v>
      </c>
      <c r="G6" s="149">
        <f>[6]STA_SP7_NO!$F$9</f>
        <v>0</v>
      </c>
      <c r="H6" s="149">
        <f>[7]STA_SP7_NO!$E$9</f>
        <v>0</v>
      </c>
      <c r="I6" s="149">
        <f>[8]STA_SP7_NO!$E$9</f>
        <v>0</v>
      </c>
      <c r="J6" s="149">
        <f>[9]STA_SP7_NO!$E$9</f>
        <v>0</v>
      </c>
      <c r="K6" s="149">
        <f>[10]STA_SP7_NO!$E$9</f>
        <v>0</v>
      </c>
      <c r="L6" s="290">
        <f>[11]STA_SP7_NO!$E$9</f>
        <v>0</v>
      </c>
      <c r="M6" s="149">
        <f>SUM(B6:L6)</f>
        <v>0</v>
      </c>
    </row>
    <row r="7" spans="1:13" x14ac:dyDescent="0.25">
      <c r="A7" s="123" t="s">
        <v>70</v>
      </c>
      <c r="B7" s="75"/>
      <c r="C7" s="75"/>
      <c r="D7" s="76"/>
      <c r="E7" s="75"/>
      <c r="F7" s="75"/>
      <c r="G7" s="75"/>
      <c r="H7" s="75"/>
      <c r="I7" s="76"/>
      <c r="J7" s="75"/>
      <c r="K7" s="75"/>
      <c r="L7" s="76"/>
      <c r="M7" s="75"/>
    </row>
    <row r="8" spans="1:13" x14ac:dyDescent="0.25">
      <c r="A8" s="124" t="s">
        <v>75</v>
      </c>
      <c r="B8" s="149">
        <f>[1]STA_SP7_NO!$C$18</f>
        <v>6504</v>
      </c>
      <c r="C8" s="149">
        <f>[2]STA_SP7_NO!$C$18</f>
        <v>14033</v>
      </c>
      <c r="D8" s="150">
        <f>[3]STA_SP7_NO!$C$18</f>
        <v>2870</v>
      </c>
      <c r="E8" s="149">
        <f>[4]STA_SP7_NO!$C$18</f>
        <v>9171</v>
      </c>
      <c r="F8" s="149">
        <f>[5]STA_SP7_NO!$C$18</f>
        <v>6518</v>
      </c>
      <c r="G8" s="149">
        <f>[6]STA_SP7_NO!$C$18</f>
        <v>21876</v>
      </c>
      <c r="H8" s="149">
        <f>[7]STA_SP7_NO!$C$18</f>
        <v>22994</v>
      </c>
      <c r="I8" s="149">
        <f>[8]STA_SP7_NO!$C$18</f>
        <v>7936</v>
      </c>
      <c r="J8" s="149">
        <f>[9]STA_SP7_NO!$C$18</f>
        <v>3370</v>
      </c>
      <c r="K8" s="149">
        <f>[10]STA_SP7_NO!$C$18</f>
        <v>17718</v>
      </c>
      <c r="L8" s="291">
        <f>[11]STA_SP7_NO!$C$18</f>
        <v>25</v>
      </c>
      <c r="M8" s="149">
        <f>SUM(B8:L8)</f>
        <v>113015</v>
      </c>
    </row>
    <row r="9" spans="1:13" x14ac:dyDescent="0.25">
      <c r="A9" s="124" t="s">
        <v>76</v>
      </c>
      <c r="B9" s="149">
        <f>[1]STA_SP7_NO!$D$18</f>
        <v>178123.96</v>
      </c>
      <c r="C9" s="149">
        <f>[2]STA_SP7_NO!$D18</f>
        <v>109543.42</v>
      </c>
      <c r="D9" s="150">
        <f>[3]STA_SP7_NO!$D$18</f>
        <v>21629</v>
      </c>
      <c r="E9" s="149">
        <f>[4]STA_SP7_NO!$D$18</f>
        <v>79755.070000000007</v>
      </c>
      <c r="F9" s="149">
        <f>[5]STA_SP7_NO!$D$18</f>
        <v>76348.539999999994</v>
      </c>
      <c r="G9" s="149">
        <f>[6]STA_SP7_NO!$D$18</f>
        <v>125952</v>
      </c>
      <c r="H9" s="149">
        <f>[7]STA_SP7_NO!$D$18</f>
        <v>203010</v>
      </c>
      <c r="I9" s="149">
        <f>[8]STA_SP7_NO!$D$18</f>
        <v>55006</v>
      </c>
      <c r="J9" s="149">
        <f>[9]STA_SP7_NO!$D$18</f>
        <v>46569.59</v>
      </c>
      <c r="K9" s="149">
        <f>[10]STA_SP7_NO!$D$18</f>
        <v>151999</v>
      </c>
      <c r="L9" s="291">
        <f>[11]STA_SP7_NO!$D$18</f>
        <v>44.3</v>
      </c>
      <c r="M9" s="149">
        <f>SUM(B9:L9)</f>
        <v>1047980.88</v>
      </c>
    </row>
    <row r="10" spans="1:13" x14ac:dyDescent="0.25">
      <c r="A10" s="124" t="s">
        <v>57</v>
      </c>
      <c r="B10" s="149">
        <f>[1]STA_SP7_NO!$E$18</f>
        <v>34617.97</v>
      </c>
      <c r="C10" s="149">
        <f>[2]STA_SP7_NO!$E$18</f>
        <v>26821</v>
      </c>
      <c r="D10" s="150">
        <f>[3]STA_SP7_NO!$E$18</f>
        <v>6016</v>
      </c>
      <c r="E10" s="149">
        <f>[4]STA_SP7_NO!$E$18</f>
        <v>16186.79</v>
      </c>
      <c r="F10" s="149">
        <f>[5]STA_SP7_NO!$E$18</f>
        <v>17088.41</v>
      </c>
      <c r="G10" s="149">
        <f>[6]STA_SP7_NO!$E$18</f>
        <v>41412</v>
      </c>
      <c r="H10" s="149">
        <f>[7]STA_SP7_NO!$E$18</f>
        <v>62695</v>
      </c>
      <c r="I10" s="149">
        <f>[8]STA_SP7_NO!$E$18</f>
        <v>15425.5</v>
      </c>
      <c r="J10" s="149">
        <f>[9]STA_SP7_NO!$E$18</f>
        <v>12670</v>
      </c>
      <c r="K10" s="149">
        <f>[10]STA_SP7_NO!$E$18</f>
        <v>41553</v>
      </c>
      <c r="L10" s="291">
        <f>[11]STA_SP7_NO!$E$18</f>
        <v>19.16</v>
      </c>
      <c r="M10" s="149">
        <f>SUM(B10:L10)</f>
        <v>274504.83</v>
      </c>
    </row>
    <row r="11" spans="1:13" x14ac:dyDescent="0.25">
      <c r="A11" s="123" t="s">
        <v>71</v>
      </c>
      <c r="B11" s="75"/>
      <c r="C11" s="75"/>
      <c r="D11" s="76"/>
      <c r="E11" s="75"/>
      <c r="F11" s="75"/>
      <c r="G11" s="75"/>
      <c r="H11" s="75"/>
      <c r="I11" s="76"/>
      <c r="J11" s="75"/>
      <c r="K11" s="75"/>
      <c r="L11" s="76"/>
      <c r="M11" s="75"/>
    </row>
    <row r="12" spans="1:13" x14ac:dyDescent="0.25">
      <c r="A12" s="124" t="s">
        <v>75</v>
      </c>
      <c r="B12" s="149">
        <f>[1]STA_SP7_NO!$C$19</f>
        <v>14667</v>
      </c>
      <c r="C12" s="149">
        <f>[2]STA_SP7_NO!$C$19</f>
        <v>11</v>
      </c>
      <c r="D12" s="150">
        <f>[3]STA_SP7_NO!$C$19</f>
        <v>3537</v>
      </c>
      <c r="E12" s="149">
        <f>[4]STA_SP7_NO!$C$19</f>
        <v>929</v>
      </c>
      <c r="F12" s="149">
        <f>[5]STA_SP7_NO!$C$19</f>
        <v>0</v>
      </c>
      <c r="G12" s="149">
        <f>[6]STA_SP7_NO!$C$19</f>
        <v>337</v>
      </c>
      <c r="H12" s="149">
        <f>[7]STA_SP7_NO!$C$19</f>
        <v>4285</v>
      </c>
      <c r="I12" s="149">
        <f>[8]STA_SP7_NO!$C$19</f>
        <v>598</v>
      </c>
      <c r="J12" s="149">
        <f>[9]STA_SP7_NO!$C$19</f>
        <v>0</v>
      </c>
      <c r="K12" s="149">
        <f>[10]STA_SP7_NO!$C$19</f>
        <v>0</v>
      </c>
      <c r="L12" s="291">
        <f>[11]STA_SP7_NO!$C$19</f>
        <v>0</v>
      </c>
      <c r="M12" s="149">
        <f>SUM(B12:L12)</f>
        <v>24364</v>
      </c>
    </row>
    <row r="13" spans="1:13" x14ac:dyDescent="0.25">
      <c r="A13" s="124" t="s">
        <v>76</v>
      </c>
      <c r="B13" s="149">
        <f>[1]STA_SP7_NO!$D$19</f>
        <v>163359.51</v>
      </c>
      <c r="C13" s="149">
        <f>[2]STA_SP7_NO!$D$19</f>
        <v>121.34</v>
      </c>
      <c r="D13" s="150">
        <f>[3]STA_SP7_NO!$D$19</f>
        <v>19692</v>
      </c>
      <c r="E13" s="149">
        <f>[4]STA_SP7_NO!$D$19</f>
        <v>5173.3</v>
      </c>
      <c r="F13" s="149">
        <f>[5]STA_SP7_NO!$D$19</f>
        <v>0</v>
      </c>
      <c r="G13" s="149">
        <f>[6]STA_SP7_NO!$D$19</f>
        <v>2066</v>
      </c>
      <c r="H13" s="149">
        <f>[7]STA_SP7_NO!$D$19</f>
        <v>25420</v>
      </c>
      <c r="I13" s="149">
        <f>[8]STA_SP7_NO!$D$19</f>
        <v>3401</v>
      </c>
      <c r="J13" s="149">
        <f>[9]STA_SP7_NO!$D$19</f>
        <v>0</v>
      </c>
      <c r="K13" s="149">
        <f>[10]STA_SP7_NO!$D$19</f>
        <v>0</v>
      </c>
      <c r="L13" s="291">
        <f>[11]STA_SP7_NO!$D$19</f>
        <v>0</v>
      </c>
      <c r="M13" s="149">
        <f>SUM(B13:L13)</f>
        <v>219233.15</v>
      </c>
    </row>
    <row r="14" spans="1:13" x14ac:dyDescent="0.25">
      <c r="A14" s="124" t="s">
        <v>57</v>
      </c>
      <c r="B14" s="149">
        <f>[1]STA_SP7_NO!$E$19</f>
        <v>38677.949999999997</v>
      </c>
      <c r="C14" s="149">
        <f>[2]STA_SP7_NO!$E$19</f>
        <v>10.91</v>
      </c>
      <c r="D14" s="150">
        <f>[3]STA_SP7_NO!$E$19</f>
        <v>5877</v>
      </c>
      <c r="E14" s="149">
        <f>[4]STA_SP7_NO!$E$19</f>
        <v>1170.19</v>
      </c>
      <c r="F14" s="149">
        <f>[5]STA_SP7_NO!$E$19</f>
        <v>0</v>
      </c>
      <c r="G14" s="149">
        <f>[6]STA_SP7_NO!$E$19</f>
        <v>723</v>
      </c>
      <c r="H14" s="149">
        <f>[7]STA_SP7_NO!$E$19</f>
        <v>7929</v>
      </c>
      <c r="I14" s="149">
        <f>[8]STA_SP7_NO!$E$19</f>
        <v>1141.94</v>
      </c>
      <c r="J14" s="149">
        <f>[9]STA_SP7_NO!$E$19</f>
        <v>0</v>
      </c>
      <c r="K14" s="149">
        <f>[10]STA_SP7_NO!$E$19</f>
        <v>0</v>
      </c>
      <c r="L14" s="291">
        <f>[11]STA_SP7_NO!$E$19</f>
        <v>0</v>
      </c>
      <c r="M14" s="149">
        <f>SUM(B14:L14)</f>
        <v>55529.990000000005</v>
      </c>
    </row>
    <row r="15" spans="1:13" x14ac:dyDescent="0.25">
      <c r="A15" s="123" t="s">
        <v>72</v>
      </c>
      <c r="B15" s="75"/>
      <c r="C15" s="75"/>
      <c r="D15" s="76"/>
      <c r="E15" s="75"/>
      <c r="F15" s="75"/>
      <c r="G15" s="75"/>
      <c r="H15" s="75"/>
      <c r="I15" s="76"/>
      <c r="J15" s="75"/>
      <c r="K15" s="75"/>
      <c r="L15" s="76"/>
      <c r="M15" s="75"/>
    </row>
    <row r="16" spans="1:13" x14ac:dyDescent="0.25">
      <c r="A16" s="124" t="s">
        <v>75</v>
      </c>
      <c r="B16" s="149">
        <f>[1]STA_SP7_NO!$C$20</f>
        <v>274</v>
      </c>
      <c r="C16" s="149">
        <f>[2]STA_SP7_NO!$C$20</f>
        <v>395</v>
      </c>
      <c r="D16" s="150">
        <f>[3]STA_SP7_NO!$C$20</f>
        <v>0</v>
      </c>
      <c r="E16" s="149">
        <f>[4]STA_SP7_NO!$C$20</f>
        <v>761</v>
      </c>
      <c r="F16" s="149">
        <f>[5]STA_SP7_NO!$C$20</f>
        <v>3150</v>
      </c>
      <c r="G16" s="149">
        <f>[6]STA_SP7_NO!$C$20</f>
        <v>114</v>
      </c>
      <c r="H16" s="149">
        <f>[7]STA_SP7_NO!$C$20</f>
        <v>295</v>
      </c>
      <c r="I16" s="149">
        <f>[8]STA_SP7_NO!$C$20</f>
        <v>227</v>
      </c>
      <c r="J16" s="149">
        <f>[9]STA_SP7_NO!$C$20</f>
        <v>20</v>
      </c>
      <c r="K16" s="149">
        <f>[10]STA_SP7_NO!$C$20</f>
        <v>108</v>
      </c>
      <c r="L16" s="291">
        <f>[11]STA_SP7_NO!$C$20</f>
        <v>0</v>
      </c>
      <c r="M16" s="149">
        <f>SUM(B16:L16)</f>
        <v>5344</v>
      </c>
    </row>
    <row r="17" spans="1:13" x14ac:dyDescent="0.25">
      <c r="A17" s="124" t="s">
        <v>76</v>
      </c>
      <c r="B17" s="149">
        <f>[1]STA_SP7_NO!$D$20</f>
        <v>57.08</v>
      </c>
      <c r="C17" s="149">
        <f>[2]STA_SP7_NO!$D$20</f>
        <v>506.1</v>
      </c>
      <c r="D17" s="150">
        <f>[3]STA_SP7_NO!$D$20</f>
        <v>0</v>
      </c>
      <c r="E17" s="149">
        <f>[4]STA_SP7_NO!$D$20</f>
        <v>441.97</v>
      </c>
      <c r="F17" s="149">
        <f>[5]STA_SP7_NO!$D$20</f>
        <v>1981.86</v>
      </c>
      <c r="G17" s="149">
        <f>[6]STA_SP7_NO!$D$20</f>
        <v>65</v>
      </c>
      <c r="H17" s="149">
        <f>[7]STA_SP7_NO!$D$20</f>
        <v>152</v>
      </c>
      <c r="I17" s="149">
        <f>[8]STA_SP7_NO!$D$20</f>
        <v>165</v>
      </c>
      <c r="J17" s="149">
        <f>[9]STA_SP7_NO!$D$20</f>
        <v>7.04</v>
      </c>
      <c r="K17" s="149">
        <f>[10]STA_SP7_NO!$D$20</f>
        <v>280</v>
      </c>
      <c r="L17" s="291">
        <f>[11]STA_SP7_NO!$D$20</f>
        <v>0</v>
      </c>
      <c r="M17" s="149">
        <f>SUM(B17:L17)</f>
        <v>3656.05</v>
      </c>
    </row>
    <row r="18" spans="1:13" x14ac:dyDescent="0.25">
      <c r="A18" s="124" t="s">
        <v>57</v>
      </c>
      <c r="B18" s="149">
        <f>[1]STA_SP7_NO!$E$20</f>
        <v>17.12</v>
      </c>
      <c r="C18" s="149">
        <f>[2]STA_SP7_NO!$E$20</f>
        <v>187.81</v>
      </c>
      <c r="D18" s="150">
        <f>[3]STA_SP7_NO!$E$20</f>
        <v>0</v>
      </c>
      <c r="E18" s="149">
        <f>[4]STA_SP7_NO!$E$20</f>
        <v>132.58000000000001</v>
      </c>
      <c r="F18" s="149">
        <f>[5]STA_SP7_NO!$E$20</f>
        <v>603.76</v>
      </c>
      <c r="G18" s="149">
        <f>[6]STA_SP7_NO!$E$20</f>
        <v>23</v>
      </c>
      <c r="H18" s="149">
        <f>[7]STA_SP7_NO!$E$20</f>
        <v>0</v>
      </c>
      <c r="I18" s="149">
        <f>[8]STA_SP7_NO!$E$20</f>
        <v>42.5</v>
      </c>
      <c r="J18" s="149">
        <f>[9]STA_SP7_NO!$E$20</f>
        <v>2</v>
      </c>
      <c r="K18" s="149">
        <f>[10]STA_SP7_NO!$E$20</f>
        <v>95</v>
      </c>
      <c r="L18" s="291">
        <f>[11]STA_SP7_NO!$E$20</f>
        <v>0</v>
      </c>
      <c r="M18" s="149">
        <f>SUM(B18:L18)</f>
        <v>1103.77</v>
      </c>
    </row>
    <row r="19" spans="1:13" x14ac:dyDescent="0.25">
      <c r="A19" s="123" t="s">
        <v>73</v>
      </c>
      <c r="B19" s="75"/>
      <c r="C19" s="75"/>
      <c r="D19" s="76"/>
      <c r="E19" s="75"/>
      <c r="F19" s="75"/>
      <c r="G19" s="75"/>
      <c r="H19" s="75"/>
      <c r="I19" s="76"/>
      <c r="J19" s="75"/>
      <c r="K19" s="75"/>
      <c r="L19" s="76"/>
      <c r="M19" s="75"/>
    </row>
    <row r="20" spans="1:13" x14ac:dyDescent="0.25">
      <c r="A20" s="124" t="s">
        <v>75</v>
      </c>
      <c r="B20" s="149">
        <f>[1]STA_SP7_NO!$C$21</f>
        <v>0</v>
      </c>
      <c r="C20" s="149">
        <f>[2]STA_SP7_NO!$C$21</f>
        <v>0</v>
      </c>
      <c r="D20" s="150">
        <f>[3]STA_SP7_NO!$C$21</f>
        <v>124</v>
      </c>
      <c r="E20" s="149">
        <f>[4]STA_SP7_NO!$C$21</f>
        <v>0</v>
      </c>
      <c r="F20" s="149">
        <f>[5]STA_SP7_NO!$C$21</f>
        <v>0</v>
      </c>
      <c r="G20" s="149">
        <f>[6]STA_SP7_NO!$C$21</f>
        <v>0</v>
      </c>
      <c r="H20" s="149">
        <f>[7]STA_SP7_NO!$C$21</f>
        <v>0</v>
      </c>
      <c r="I20" s="149">
        <f>[8]STA_SP7_NO!$C$21</f>
        <v>0</v>
      </c>
      <c r="J20" s="149">
        <f>[9]STA_SP7_NO!$C$21</f>
        <v>0</v>
      </c>
      <c r="K20" s="149">
        <f>[10]STA_SP7_NO!$C$21</f>
        <v>0</v>
      </c>
      <c r="L20" s="291">
        <f>[11]STA_SP7_NO!$C$21</f>
        <v>0</v>
      </c>
      <c r="M20" s="149">
        <f>SUM(B20:L20)</f>
        <v>124</v>
      </c>
    </row>
    <row r="21" spans="1:13" x14ac:dyDescent="0.25">
      <c r="A21" s="124" t="s">
        <v>76</v>
      </c>
      <c r="B21" s="149">
        <f>[1]STA_SP7_NO!$D$21</f>
        <v>0</v>
      </c>
      <c r="C21" s="149">
        <f>[2]STA_SP7_NO!$D$21</f>
        <v>0</v>
      </c>
      <c r="D21" s="150">
        <f>[3]STA_SP7_NO!$D$21</f>
        <v>1660</v>
      </c>
      <c r="E21" s="149">
        <f>[4]STA_SP7_NO!$D$21</f>
        <v>0</v>
      </c>
      <c r="F21" s="149">
        <f>[5]STA_SP7_NO!$D$21</f>
        <v>0</v>
      </c>
      <c r="G21" s="149">
        <f>[6]STA_SP7_NO!$D$21</f>
        <v>0</v>
      </c>
      <c r="H21" s="149">
        <f>[7]STA_SP7_NO!$D$21</f>
        <v>0</v>
      </c>
      <c r="I21" s="149">
        <f>[8]STA_SP7_NO!$D$21</f>
        <v>0</v>
      </c>
      <c r="J21" s="149">
        <f>[9]STA_SP7_NO!$D$21</f>
        <v>0</v>
      </c>
      <c r="K21" s="149">
        <f>[10]STA_SP7_NO!$D$21</f>
        <v>0</v>
      </c>
      <c r="L21" s="291">
        <f>[11]STA_SP7_NO!$D$21</f>
        <v>0</v>
      </c>
      <c r="M21" s="149">
        <f>SUM(B21:L21)</f>
        <v>1660</v>
      </c>
    </row>
    <row r="22" spans="1:13" ht="12.75" customHeight="1" x14ac:dyDescent="0.25">
      <c r="A22" s="124" t="s">
        <v>57</v>
      </c>
      <c r="B22" s="149">
        <f>[1]STA_SP7_NO!$E$21</f>
        <v>0</v>
      </c>
      <c r="C22" s="149">
        <f>[2]STA_SP7_NO!$E$21</f>
        <v>0</v>
      </c>
      <c r="D22" s="150">
        <f>[3]STA_SP7_NO!$E$21</f>
        <v>283</v>
      </c>
      <c r="E22" s="149">
        <f>[4]STA_SP7_NO!$E$21</f>
        <v>0</v>
      </c>
      <c r="F22" s="149">
        <f>[5]STA_SP7_NO!$E$21</f>
        <v>0</v>
      </c>
      <c r="G22" s="149">
        <f>[6]STA_SP7_NO!$E$21</f>
        <v>0</v>
      </c>
      <c r="H22" s="149">
        <f>[7]STA_SP7_NO!$E$21</f>
        <v>0</v>
      </c>
      <c r="I22" s="149">
        <f>[8]STA_SP7_NO!$E$21</f>
        <v>0</v>
      </c>
      <c r="J22" s="149">
        <f>[9]STA_SP7_NO!$E$21</f>
        <v>0</v>
      </c>
      <c r="K22" s="149">
        <f>[10]STA_SP7_NO!$E$21</f>
        <v>0</v>
      </c>
      <c r="L22" s="291">
        <f>[11]STA_SP7_NO!$E$21</f>
        <v>0</v>
      </c>
      <c r="M22" s="149">
        <f>SUM(B22:L22)</f>
        <v>283</v>
      </c>
    </row>
    <row r="23" spans="1:13" x14ac:dyDescent="0.25">
      <c r="A23" s="123" t="s">
        <v>74</v>
      </c>
      <c r="B23" s="75"/>
      <c r="C23" s="75"/>
      <c r="D23" s="76"/>
      <c r="E23" s="75"/>
      <c r="F23" s="75"/>
      <c r="G23" s="75"/>
      <c r="H23" s="75"/>
      <c r="I23" s="76"/>
      <c r="J23" s="75"/>
      <c r="K23" s="75"/>
      <c r="L23" s="76"/>
      <c r="M23" s="75"/>
    </row>
    <row r="24" spans="1:13" x14ac:dyDescent="0.25">
      <c r="A24" s="124" t="s">
        <v>75</v>
      </c>
      <c r="B24" s="149">
        <f>[1]STA_SP7_NO!$C$22</f>
        <v>1301</v>
      </c>
      <c r="C24" s="149">
        <f>[2]STA_SP7_NO!$C$22</f>
        <v>3017</v>
      </c>
      <c r="D24" s="150">
        <f>[3]STA_SP7_NO!$C$22</f>
        <v>733</v>
      </c>
      <c r="E24" s="149">
        <f>[4]STA_SP7_NO!$C$22</f>
        <v>11179</v>
      </c>
      <c r="F24" s="149">
        <f>[5]STA_SP7_NO!$C$22</f>
        <v>0</v>
      </c>
      <c r="G24" s="149">
        <f>[6]STA_SP7_NO!$C$22</f>
        <v>0</v>
      </c>
      <c r="H24" s="149">
        <f>[7]STA_SP7_NO!$C$22</f>
        <v>0</v>
      </c>
      <c r="I24" s="149">
        <f>[8]STA_SP7_NO!$C$22</f>
        <v>353</v>
      </c>
      <c r="J24" s="149">
        <f>[9]STA_SP7_NO!$C$22</f>
        <v>13371</v>
      </c>
      <c r="K24" s="149">
        <f>[10]STA_SP7_NO!$C$22</f>
        <v>15892</v>
      </c>
      <c r="L24" s="291">
        <f>[11]STA_SP7_NO!$C$22</f>
        <v>0</v>
      </c>
      <c r="M24" s="149">
        <f>SUM(B24:L24)</f>
        <v>45846</v>
      </c>
    </row>
    <row r="25" spans="1:13" x14ac:dyDescent="0.25">
      <c r="A25" s="124" t="s">
        <v>76</v>
      </c>
      <c r="B25" s="149">
        <f>[1]STA_SP7_NO!$D$22</f>
        <v>25721.31</v>
      </c>
      <c r="C25" s="149">
        <f>[2]STA_SP7_NO!$D$22</f>
        <v>3762.89</v>
      </c>
      <c r="D25" s="150">
        <f>[3]STA_SP7_NO!$D$22</f>
        <v>2265</v>
      </c>
      <c r="E25" s="149">
        <f>[4]STA_SP7_NO!$D$22</f>
        <v>16231.6</v>
      </c>
      <c r="F25" s="149">
        <f>[5]STA_SP7_NO!$D$22</f>
        <v>0</v>
      </c>
      <c r="G25" s="149">
        <f>[6]STA_SP7_NO!$D$22</f>
        <v>0</v>
      </c>
      <c r="H25" s="149">
        <f>[7]STA_SP7_NO!$D$22</f>
        <v>0</v>
      </c>
      <c r="I25" s="149">
        <f>[8]STA_SP7_NO!$D$22</f>
        <v>919</v>
      </c>
      <c r="J25" s="149">
        <f>[9]STA_SP7_NO!$D$22</f>
        <v>202507.06</v>
      </c>
      <c r="K25" s="149">
        <f>[10]STA_SP7_NO!$D$22</f>
        <v>24299</v>
      </c>
      <c r="L25" s="291">
        <f>[11]STA_SP7_NO!$D$22</f>
        <v>0</v>
      </c>
      <c r="M25" s="149">
        <f>SUM(B25:L25)</f>
        <v>275705.86</v>
      </c>
    </row>
    <row r="26" spans="1:13" x14ac:dyDescent="0.25">
      <c r="A26" s="124" t="s">
        <v>57</v>
      </c>
      <c r="B26" s="149">
        <f>[1]STA_SP7_NO!$E$22</f>
        <v>5355.75</v>
      </c>
      <c r="C26" s="149">
        <f>[2]STA_SP7_NO!$E$22</f>
        <v>945.84</v>
      </c>
      <c r="D26" s="150">
        <f>[3]STA_SP7_NO!$E$22</f>
        <v>639</v>
      </c>
      <c r="E26" s="149">
        <f>[4]STA_SP7_NO!$E$22</f>
        <v>5004.6099999999997</v>
      </c>
      <c r="F26" s="149">
        <f>[5]STA_SP7_NO!$E$22</f>
        <v>0</v>
      </c>
      <c r="G26" s="149">
        <f>[6]STA_SP7_NO!$E$22</f>
        <v>0</v>
      </c>
      <c r="H26" s="149">
        <f>[7]STA_SP7_NO!$E$22</f>
        <v>0</v>
      </c>
      <c r="I26" s="149">
        <f>[8]STA_SP7_NO!$E$22</f>
        <v>0</v>
      </c>
      <c r="J26" s="149">
        <f>[9]STA_SP7_NO!$E$22</f>
        <v>17637</v>
      </c>
      <c r="K26" s="149">
        <f>[10]STA_SP7_NO!$E$22</f>
        <v>9392</v>
      </c>
      <c r="L26" s="291">
        <f>[11]STA_SP7_NO!$E$22</f>
        <v>0</v>
      </c>
      <c r="M26" s="149">
        <f>SUM(B26:L26)</f>
        <v>38974.199999999997</v>
      </c>
    </row>
    <row r="27" spans="1:13" x14ac:dyDescent="0.25">
      <c r="A27" s="123" t="s">
        <v>77</v>
      </c>
      <c r="B27" s="75"/>
      <c r="C27" s="75"/>
      <c r="D27" s="76"/>
      <c r="E27" s="75"/>
      <c r="F27" s="75"/>
      <c r="G27" s="75"/>
      <c r="H27" s="75"/>
      <c r="I27" s="76"/>
      <c r="J27" s="75"/>
      <c r="K27" s="75"/>
      <c r="L27" s="76"/>
      <c r="M27" s="75"/>
    </row>
    <row r="28" spans="1:13" x14ac:dyDescent="0.25">
      <c r="A28" s="124" t="s">
        <v>75</v>
      </c>
      <c r="B28" s="149">
        <f>[1]STA_SP7_NO!$C$29</f>
        <v>24829</v>
      </c>
      <c r="C28" s="149">
        <f>[2]STA_SP7_NO!$C$29</f>
        <v>2041</v>
      </c>
      <c r="D28" s="150">
        <f>[3]STA_SP7_NO!$C$29</f>
        <v>1406</v>
      </c>
      <c r="E28" s="149">
        <f>[4]STA_SP7_NO!$C$29</f>
        <v>8175</v>
      </c>
      <c r="F28" s="149">
        <f>[5]STA_SP7_NO!$C$29</f>
        <v>1202</v>
      </c>
      <c r="G28" s="149">
        <f>[6]STA_SP7_NO!$C$29</f>
        <v>11196</v>
      </c>
      <c r="H28" s="149">
        <f>[7]STA_SP7_NO!$C$29</f>
        <v>23626</v>
      </c>
      <c r="I28" s="149">
        <f>[8]STA_SP7_NO!$C$29</f>
        <v>2586</v>
      </c>
      <c r="J28" s="149">
        <f>[9]STA_SP7_NO!$C$29</f>
        <v>15515</v>
      </c>
      <c r="K28" s="149">
        <f>[10]STA_SP7_NO!$C$29</f>
        <v>1635</v>
      </c>
      <c r="L28" s="291">
        <f>[11]STA_SP7_NO!$C$29</f>
        <v>0</v>
      </c>
      <c r="M28" s="149">
        <f>SUM(B28:L28)</f>
        <v>92211</v>
      </c>
    </row>
    <row r="29" spans="1:13" x14ac:dyDescent="0.25">
      <c r="A29" s="124" t="s">
        <v>76</v>
      </c>
      <c r="B29" s="149">
        <f>[1]STA_SP7_NO!$D$29</f>
        <v>169729.73</v>
      </c>
      <c r="C29" s="149">
        <f>[2]STA_SP7_NO!$D$29</f>
        <v>11671.58</v>
      </c>
      <c r="D29" s="150">
        <f>[3]STA_SP7_NO!$D$29</f>
        <v>8222</v>
      </c>
      <c r="E29" s="149">
        <f>[4]STA_SP7_NO!$D$29</f>
        <v>64454.55</v>
      </c>
      <c r="F29" s="149">
        <f>[5]STA_SP7_NO!$D$29</f>
        <v>12419.38</v>
      </c>
      <c r="G29" s="149">
        <f>[6]STA_SP7_NO!$D$29</f>
        <v>63981</v>
      </c>
      <c r="H29" s="149">
        <f>[7]STA_SP7_NO!$D$29</f>
        <v>167409</v>
      </c>
      <c r="I29" s="149">
        <f>[8]STA_SP7_NO!$D$29</f>
        <v>15764</v>
      </c>
      <c r="J29" s="149">
        <f>[9]STA_SP7_NO!$D$29</f>
        <v>112230.13</v>
      </c>
      <c r="K29" s="149">
        <f>[10]STA_SP7_NO!$D$29</f>
        <v>28417</v>
      </c>
      <c r="L29" s="291">
        <f>[11]STA_SP7_NO!$D$29</f>
        <v>0</v>
      </c>
      <c r="M29" s="149">
        <f>SUM(B29:L29)</f>
        <v>654298.37</v>
      </c>
    </row>
    <row r="30" spans="1:13" x14ac:dyDescent="0.25">
      <c r="A30" s="124" t="s">
        <v>57</v>
      </c>
      <c r="B30" s="149">
        <f>[1]STA_SP7_NO!$E$29</f>
        <v>46627.8</v>
      </c>
      <c r="C30" s="149">
        <f>[2]STA_SP7_NO!$E$29</f>
        <v>1885.96</v>
      </c>
      <c r="D30" s="150">
        <f>[3]STA_SP7_NO!$E$29</f>
        <v>1474</v>
      </c>
      <c r="E30" s="149">
        <f>[4]STA_SP7_NO!$E$29</f>
        <v>13508.63</v>
      </c>
      <c r="F30" s="149">
        <f>[5]STA_SP7_NO!$E$29</f>
        <v>3085</v>
      </c>
      <c r="G30" s="149">
        <f>[6]STA_SP7_NO!$E$29</f>
        <v>18645</v>
      </c>
      <c r="H30" s="149">
        <f>[7]STA_SP7_NO!$E$29</f>
        <v>41119</v>
      </c>
      <c r="I30" s="149">
        <f>[8]STA_SP7_NO!$E$29</f>
        <v>3093.46</v>
      </c>
      <c r="J30" s="149">
        <f>[9]STA_SP7_NO!$E$29</f>
        <v>337</v>
      </c>
      <c r="K30" s="149">
        <f>[10]STA_SP7_NO!$E$29</f>
        <v>18007.599999999999</v>
      </c>
      <c r="L30" s="291">
        <f>[11]STA_SP7_NO!$E$29</f>
        <v>21.15</v>
      </c>
      <c r="M30" s="149">
        <f>SUM(B30:L30)</f>
        <v>147804.6</v>
      </c>
    </row>
    <row r="31" spans="1:13" ht="12" customHeight="1" x14ac:dyDescent="0.25">
      <c r="A31" s="123" t="s">
        <v>78</v>
      </c>
      <c r="B31" s="123"/>
      <c r="C31" s="75"/>
      <c r="D31" s="76"/>
      <c r="E31" s="75"/>
      <c r="F31" s="75"/>
      <c r="G31" s="75"/>
      <c r="H31" s="75"/>
      <c r="I31" s="76"/>
      <c r="J31" s="75"/>
      <c r="K31" s="75"/>
      <c r="L31" s="76"/>
      <c r="M31" s="75"/>
    </row>
    <row r="32" spans="1:13" x14ac:dyDescent="0.25">
      <c r="A32" s="124" t="s">
        <v>75</v>
      </c>
      <c r="B32" s="149">
        <f>[1]STA_SP7_NO!$C$38</f>
        <v>0</v>
      </c>
      <c r="C32" s="149">
        <f>[2]STA_SP7_NO!$C$38</f>
        <v>0</v>
      </c>
      <c r="D32" s="150">
        <f>[3]STA_SP7_NO!$C$38</f>
        <v>11152</v>
      </c>
      <c r="E32" s="149">
        <f>[4]STA_SP7_NO!$C$38</f>
        <v>6924</v>
      </c>
      <c r="F32" s="149">
        <f>[5]STA_SP7_NO!$C$38</f>
        <v>8</v>
      </c>
      <c r="G32" s="149">
        <f>[6]STA_SP7_NO!$C$38</f>
        <v>0</v>
      </c>
      <c r="H32" s="149">
        <f>[7]STA_SP7_NO!$C$38</f>
        <v>0</v>
      </c>
      <c r="I32" s="149">
        <f>[8]STA_SP7_NO!$C$38</f>
        <v>0</v>
      </c>
      <c r="J32" s="149">
        <f>[9]STA_SP7_NO!$C$38</f>
        <v>0</v>
      </c>
      <c r="K32" s="149">
        <f>[10]STA_SP7_NO!$C$38</f>
        <v>468</v>
      </c>
      <c r="L32" s="291">
        <f>[11]STA_SP7_NO!$C$38</f>
        <v>0</v>
      </c>
      <c r="M32" s="149">
        <f>SUM(B32:L32)</f>
        <v>18552</v>
      </c>
    </row>
    <row r="33" spans="1:13" ht="12.75" customHeight="1" x14ac:dyDescent="0.25">
      <c r="A33" s="124" t="s">
        <v>76</v>
      </c>
      <c r="B33" s="149">
        <f>[1]STA_SP7_NO!$D$38</f>
        <v>0</v>
      </c>
      <c r="C33" s="149">
        <f>[2]STA_SP7_NO!$D$38</f>
        <v>0</v>
      </c>
      <c r="D33" s="150">
        <f>[3]STA_SP7_NO!$D$38</f>
        <v>60529</v>
      </c>
      <c r="E33" s="149">
        <f>[4]STA_SP7_NO!$D$38</f>
        <v>4940.68</v>
      </c>
      <c r="F33" s="149">
        <f>[5]STA_SP7_NO!$D$38</f>
        <v>58</v>
      </c>
      <c r="G33" s="149">
        <f>[6]STA_SP7_NO!$D$38</f>
        <v>0</v>
      </c>
      <c r="H33" s="149">
        <f>[7]STA_SP7_NO!$D$38</f>
        <v>0</v>
      </c>
      <c r="I33" s="149">
        <f>[8]STA_SP7_NO!$D$38</f>
        <v>0</v>
      </c>
      <c r="J33" s="149">
        <f>[9]STA_SP7_NO!$D$38</f>
        <v>0</v>
      </c>
      <c r="K33" s="149">
        <f>[10]STA_SP7_NO!$D$38</f>
        <v>7040</v>
      </c>
      <c r="L33" s="291">
        <f>[11]STA_SP7_NO!$D$38</f>
        <v>0</v>
      </c>
      <c r="M33" s="149">
        <f>SUM(B33:L33)</f>
        <v>72567.679999999993</v>
      </c>
    </row>
    <row r="34" spans="1:13" ht="15.75" thickBot="1" x14ac:dyDescent="0.3">
      <c r="A34" s="125" t="s">
        <v>57</v>
      </c>
      <c r="B34" s="207">
        <f>[1]STA_SP7_NO!$E$38</f>
        <v>0</v>
      </c>
      <c r="C34" s="207">
        <f>[2]STA_SP7_NO!$E$38</f>
        <v>0</v>
      </c>
      <c r="D34" s="208">
        <f>[3]STA_SP7_NO!$E$38</f>
        <v>13882</v>
      </c>
      <c r="E34" s="116">
        <f>[4]STA_SP7_NO!$E$38</f>
        <v>480.83</v>
      </c>
      <c r="F34" s="116">
        <f>[5]STA_SP7_NO!$E$38</f>
        <v>0</v>
      </c>
      <c r="G34" s="116">
        <f>[6]STA_SP7_NO!$E$38</f>
        <v>0</v>
      </c>
      <c r="H34" s="116">
        <f>[7]STA_SP7_NO!$E$38</f>
        <v>0</v>
      </c>
      <c r="I34" s="116">
        <f>[8]STA_SP7_NO!$E$38</f>
        <v>0</v>
      </c>
      <c r="J34" s="207">
        <f>[9]STA_SP7_NO!$E$38</f>
        <v>0</v>
      </c>
      <c r="K34" s="116">
        <f>[10]STA_SP7_NO!$E$38</f>
        <v>1824</v>
      </c>
      <c r="L34" s="292">
        <f>[11]STA_SP7_NO!$E$38</f>
        <v>0</v>
      </c>
      <c r="M34" s="116">
        <f>SUM(B34:L34)</f>
        <v>16186.83</v>
      </c>
    </row>
    <row r="37" spans="1:13" x14ac:dyDescent="0.25"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</row>
    <row r="38" spans="1:13" x14ac:dyDescent="0.25"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</row>
    <row r="39" spans="1:13" x14ac:dyDescent="0.25"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</row>
    <row r="40" spans="1:13" x14ac:dyDescent="0.25">
      <c r="L40" s="1"/>
      <c r="M40" s="198"/>
    </row>
    <row r="41" spans="1:13" x14ac:dyDescent="0.25"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</row>
    <row r="42" spans="1:13" x14ac:dyDescent="0.25"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</row>
    <row r="45" spans="1:13" x14ac:dyDescent="0.25"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</row>
  </sheetData>
  <pageMargins left="0.25" right="0.25" top="0.75" bottom="0.75" header="0.3" footer="0.3"/>
  <pageSetup paperSize="9" scale="7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B34" sqref="B34"/>
    </sheetView>
  </sheetViews>
  <sheetFormatPr defaultRowHeight="15" x14ac:dyDescent="0.25"/>
  <cols>
    <col min="1" max="1" width="7" customWidth="1"/>
    <col min="2" max="2" width="16.5703125" customWidth="1"/>
    <col min="3" max="3" width="13.42578125" customWidth="1"/>
    <col min="4" max="4" width="11.28515625" customWidth="1"/>
    <col min="5" max="6" width="14.28515625" customWidth="1"/>
    <col min="7" max="7" width="12.28515625" customWidth="1"/>
    <col min="8" max="8" width="12.42578125" customWidth="1"/>
    <col min="9" max="10" width="11.42578125" customWidth="1"/>
    <col min="11" max="11" width="11.140625" customWidth="1"/>
  </cols>
  <sheetData>
    <row r="1" spans="1:1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4"/>
      <c r="B2" s="583" t="s">
        <v>119</v>
      </c>
      <c r="C2" s="583"/>
      <c r="D2" s="583"/>
      <c r="E2" s="583"/>
      <c r="F2" s="583"/>
      <c r="G2" s="584"/>
      <c r="H2" s="584"/>
      <c r="I2" s="94"/>
      <c r="J2" s="94"/>
      <c r="K2" s="94"/>
    </row>
    <row r="3" spans="1:11" ht="15.75" thickBot="1" x14ac:dyDescent="0.3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55" t="s">
        <v>91</v>
      </c>
    </row>
    <row r="4" spans="1:11" ht="15.75" thickBot="1" x14ac:dyDescent="0.3">
      <c r="A4" s="516" t="s">
        <v>81</v>
      </c>
      <c r="B4" s="516" t="s">
        <v>56</v>
      </c>
      <c r="C4" s="516" t="s">
        <v>82</v>
      </c>
      <c r="D4" s="516" t="s">
        <v>83</v>
      </c>
      <c r="E4" s="585" t="s">
        <v>84</v>
      </c>
      <c r="F4" s="586"/>
      <c r="G4" s="587"/>
      <c r="H4" s="516" t="s">
        <v>85</v>
      </c>
      <c r="I4" s="516" t="s">
        <v>79</v>
      </c>
      <c r="J4" s="516" t="s">
        <v>86</v>
      </c>
      <c r="K4" s="516" t="s">
        <v>3</v>
      </c>
    </row>
    <row r="5" spans="1:11" ht="47.25" customHeight="1" thickBot="1" x14ac:dyDescent="0.3">
      <c r="A5" s="517"/>
      <c r="B5" s="517"/>
      <c r="C5" s="517"/>
      <c r="D5" s="517"/>
      <c r="E5" s="89" t="s">
        <v>58</v>
      </c>
      <c r="F5" s="89" t="s">
        <v>59</v>
      </c>
      <c r="G5" s="89" t="s">
        <v>87</v>
      </c>
      <c r="H5" s="517"/>
      <c r="I5" s="517"/>
      <c r="J5" s="517"/>
      <c r="K5" s="517"/>
    </row>
    <row r="6" spans="1:11" ht="15.75" thickBot="1" x14ac:dyDescent="0.3">
      <c r="A6" s="275"/>
      <c r="B6" s="276" t="s">
        <v>54</v>
      </c>
      <c r="C6" s="277">
        <f t="shared" ref="C6:K6" si="0">SUM(C7:C17)</f>
        <v>7408627.2999999998</v>
      </c>
      <c r="D6" s="278">
        <f t="shared" si="0"/>
        <v>125341.72</v>
      </c>
      <c r="E6" s="279">
        <f t="shared" si="0"/>
        <v>4051702.58</v>
      </c>
      <c r="F6" s="279">
        <f t="shared" si="0"/>
        <v>3081437.2</v>
      </c>
      <c r="G6" s="280">
        <f t="shared" si="0"/>
        <v>7355377.4899999993</v>
      </c>
      <c r="H6" s="278">
        <f t="shared" si="0"/>
        <v>0</v>
      </c>
      <c r="I6" s="278">
        <f t="shared" si="0"/>
        <v>0</v>
      </c>
      <c r="J6" s="278">
        <f t="shared" si="0"/>
        <v>63794.61</v>
      </c>
      <c r="K6" s="281">
        <f t="shared" si="0"/>
        <v>14953141.120000001</v>
      </c>
    </row>
    <row r="7" spans="1:11" x14ac:dyDescent="0.25">
      <c r="A7" s="90">
        <v>1</v>
      </c>
      <c r="B7" s="129" t="s">
        <v>68</v>
      </c>
      <c r="C7" s="136">
        <f>[1]STA_SP5_NO!$C$41+[1]STA_SP5_NO!$K$41</f>
        <v>1184609.9600000002</v>
      </c>
      <c r="D7" s="137">
        <f>[1]STA_SP5_NO!$D$41</f>
        <v>6115.67</v>
      </c>
      <c r="E7" s="136">
        <f>[1]STA_SP5_NO!$E$41</f>
        <v>902629.92</v>
      </c>
      <c r="F7" s="136">
        <f>[1]STA_SP5_NO!$G$41</f>
        <v>385849.62</v>
      </c>
      <c r="G7" s="137">
        <f>E7+F7+[1]STA_SP5_NO!$I$41</f>
        <v>1302652.82</v>
      </c>
      <c r="H7" s="136">
        <v>0</v>
      </c>
      <c r="I7" s="136">
        <v>0</v>
      </c>
      <c r="J7" s="136">
        <f>[1]STA_SP5_NO!$M$41</f>
        <v>0</v>
      </c>
      <c r="K7" s="137">
        <f>C7+D7+G7+J7</f>
        <v>2493378.4500000002</v>
      </c>
    </row>
    <row r="8" spans="1:11" x14ac:dyDescent="0.25">
      <c r="A8" s="88">
        <v>2</v>
      </c>
      <c r="B8" s="93" t="s">
        <v>4</v>
      </c>
      <c r="C8" s="138">
        <f>[2]STA_SP5_NO!$C$41+[2]STA_SP5_NO!$K$41</f>
        <v>763367.7699999999</v>
      </c>
      <c r="D8" s="134">
        <f>[2]STA_SP5_NO!$D$41</f>
        <v>73083.66</v>
      </c>
      <c r="E8" s="134">
        <f>[2]STA_SP5_NO!$E$41</f>
        <v>953244.95</v>
      </c>
      <c r="F8" s="134">
        <f>[2]STA_SP5_NO!$G$41</f>
        <v>279339.94</v>
      </c>
      <c r="G8" s="138">
        <f>E8+F8+[2]STA_SP5_NO!$I$41</f>
        <v>1324218.5699999998</v>
      </c>
      <c r="H8" s="138">
        <v>0</v>
      </c>
      <c r="I8" s="138">
        <v>0</v>
      </c>
      <c r="J8" s="138">
        <f>[2]STA_SP5_NO!$M$41</f>
        <v>0</v>
      </c>
      <c r="K8" s="174">
        <f>C8+D8+G8+J8</f>
        <v>2160670</v>
      </c>
    </row>
    <row r="9" spans="1:11" x14ac:dyDescent="0.25">
      <c r="A9" s="91">
        <v>3</v>
      </c>
      <c r="B9" s="130" t="s">
        <v>5</v>
      </c>
      <c r="C9" s="133">
        <f>[3]STA_SP5_NO!$C$41+[3]STA_SP5_NO!$K$41</f>
        <v>274183</v>
      </c>
      <c r="D9" s="133">
        <f>[3]STA_SP5_NO!$D$41</f>
        <v>2403</v>
      </c>
      <c r="E9" s="133">
        <f>[3]STA_SP5_NO!$E$41</f>
        <v>205822</v>
      </c>
      <c r="F9" s="133">
        <f>[3]STA_SP5_NO!$G$41</f>
        <v>247338</v>
      </c>
      <c r="G9" s="141">
        <f>E9+F9+[3]STA_SP5_NO!$I$41</f>
        <v>483631</v>
      </c>
      <c r="H9" s="133">
        <v>0</v>
      </c>
      <c r="I9" s="133">
        <v>0</v>
      </c>
      <c r="J9" s="141">
        <f>[3]STA_SP5_NO!$M$41</f>
        <v>23000</v>
      </c>
      <c r="K9" s="137">
        <f>C9+D9+G9+J9</f>
        <v>783217</v>
      </c>
    </row>
    <row r="10" spans="1:11" x14ac:dyDescent="0.25">
      <c r="A10" s="88">
        <v>4</v>
      </c>
      <c r="B10" s="93" t="s">
        <v>6</v>
      </c>
      <c r="C10" s="134">
        <f>[4]STA_SP5_NO!$C$41+[4]STA_SP5_NO!$K$41</f>
        <v>734727.5</v>
      </c>
      <c r="D10" s="134">
        <f>[4]STA_SP5_NO!$D$41</f>
        <v>10614.58</v>
      </c>
      <c r="E10" s="134">
        <f>[4]STA_SP5_NO!$E$41</f>
        <v>315438.28999999998</v>
      </c>
      <c r="F10" s="134">
        <f>[4]STA_SP5_NO!$G$41</f>
        <v>257010.92</v>
      </c>
      <c r="G10" s="138">
        <f>E10+F10+[4]STA_SP5_NO!$I$41</f>
        <v>590767.56999999995</v>
      </c>
      <c r="H10" s="134">
        <v>0</v>
      </c>
      <c r="I10" s="134">
        <v>0</v>
      </c>
      <c r="J10" s="138">
        <f>[4]STA_SP5_NO!$M$41</f>
        <v>0</v>
      </c>
      <c r="K10" s="174">
        <f t="shared" ref="K10" si="1">C10+D10+G10+J10</f>
        <v>1336109.6499999999</v>
      </c>
    </row>
    <row r="11" spans="1:11" x14ac:dyDescent="0.25">
      <c r="A11" s="90">
        <v>5</v>
      </c>
      <c r="B11" s="93" t="s">
        <v>8</v>
      </c>
      <c r="C11" s="134">
        <f>[5]STA_SP5_NO!$C$41+[5]STA_SP5_NO!$K$41</f>
        <v>1212364</v>
      </c>
      <c r="D11" s="134">
        <f>[5]STA_SP5_NO!$D$41</f>
        <v>10918.19</v>
      </c>
      <c r="E11" s="134">
        <f>[5]STA_SP5_NO!$E$41</f>
        <v>372326.77</v>
      </c>
      <c r="F11" s="134">
        <f>[5]STA_SP5_NO!$G$41</f>
        <v>313264.55</v>
      </c>
      <c r="G11" s="138">
        <f>E11+F11+[5]STA_SP5_NO!$I$41</f>
        <v>694852.9</v>
      </c>
      <c r="H11" s="134">
        <v>0</v>
      </c>
      <c r="I11" s="134">
        <v>0</v>
      </c>
      <c r="J11" s="138">
        <f>[5]STA_SP5_NO!$M$41</f>
        <v>0</v>
      </c>
      <c r="K11" s="174">
        <f t="shared" ref="K11:K17" si="2">C11+D11+G11+J11</f>
        <v>1918135.0899999999</v>
      </c>
    </row>
    <row r="12" spans="1:11" x14ac:dyDescent="0.25">
      <c r="A12" s="88">
        <v>6</v>
      </c>
      <c r="B12" s="130" t="s">
        <v>93</v>
      </c>
      <c r="C12" s="133">
        <f>[6]STA_SP5_NO!$C$41+[6]STA_SP5_NO!$K$41</f>
        <v>381715.14</v>
      </c>
      <c r="D12" s="133">
        <f>[6]STA_SP5_NO!$D$41</f>
        <v>0</v>
      </c>
      <c r="E12" s="133">
        <f>[6]STA_SP5_NO!$E$41</f>
        <v>201796.74</v>
      </c>
      <c r="F12" s="133">
        <f>[6]STA_SP5_NO!$G$41</f>
        <v>173008.27</v>
      </c>
      <c r="G12" s="141">
        <f>E12+F12+[6]STA_SP5_NO!$I$41</f>
        <v>377468.33</v>
      </c>
      <c r="H12" s="133">
        <v>0</v>
      </c>
      <c r="I12" s="133">
        <v>0</v>
      </c>
      <c r="J12" s="141">
        <f>[6]STA_SP5_NO!$M$41</f>
        <v>0</v>
      </c>
      <c r="K12" s="137">
        <f t="shared" si="2"/>
        <v>759183.47</v>
      </c>
    </row>
    <row r="13" spans="1:11" x14ac:dyDescent="0.25">
      <c r="A13" s="91">
        <v>7</v>
      </c>
      <c r="B13" s="93" t="s">
        <v>96</v>
      </c>
      <c r="C13" s="134">
        <f>[7]STA_SP5_NO!$C$41+[7]STA_SP5_NO!$K$41</f>
        <v>858836</v>
      </c>
      <c r="D13" s="134">
        <f>[7]STA_SP5_NO!$D$41</f>
        <v>43</v>
      </c>
      <c r="E13" s="134">
        <f>[7]STA_SP5_NO!$E$41</f>
        <v>298123</v>
      </c>
      <c r="F13" s="134">
        <f>[7]STA_SP5_NO!$G$41</f>
        <v>364946</v>
      </c>
      <c r="G13" s="138">
        <f>E13+F13+[7]STA_SP5_NO!$I$41</f>
        <v>674010</v>
      </c>
      <c r="H13" s="134">
        <v>0</v>
      </c>
      <c r="I13" s="134">
        <v>0</v>
      </c>
      <c r="J13" s="138">
        <f>[7]STA_SP5_NO!$M$41</f>
        <v>0</v>
      </c>
      <c r="K13" s="174">
        <f t="shared" si="2"/>
        <v>1532889</v>
      </c>
    </row>
    <row r="14" spans="1:11" x14ac:dyDescent="0.25">
      <c r="A14" s="88">
        <v>8</v>
      </c>
      <c r="B14" s="130" t="s">
        <v>37</v>
      </c>
      <c r="C14" s="133">
        <f>[8]STA_SP5_NO!$C$41+[8]STA_SP5_NO!$K$41</f>
        <v>471755.93</v>
      </c>
      <c r="D14" s="133">
        <f>[8]STA_SP5_NO!$D$41</f>
        <v>2735.39</v>
      </c>
      <c r="E14" s="133">
        <f>[8]STA_SP5_NO!$E$41</f>
        <v>218822</v>
      </c>
      <c r="F14" s="133">
        <f>[8]STA_SP5_NO!$G$41</f>
        <v>313032.43</v>
      </c>
      <c r="G14" s="141">
        <f>E14+F14+[8]STA_SP5_NO!$I$41</f>
        <v>541517.1399999999</v>
      </c>
      <c r="H14" s="133">
        <v>0</v>
      </c>
      <c r="I14" s="133">
        <v>0</v>
      </c>
      <c r="J14" s="141">
        <f>[8]STA_SP5_NO!$M$41</f>
        <v>40794.61</v>
      </c>
      <c r="K14" s="137">
        <f t="shared" si="2"/>
        <v>1056803.07</v>
      </c>
    </row>
    <row r="15" spans="1:11" x14ac:dyDescent="0.25">
      <c r="A15" s="90">
        <v>9</v>
      </c>
      <c r="B15" s="93" t="s">
        <v>92</v>
      </c>
      <c r="C15" s="138">
        <f>[9]STA_SP5_NO!$C$41+[9]STA_SP5_NO!$K$41</f>
        <v>755941.69</v>
      </c>
      <c r="D15" s="138">
        <f>[9]STA_SP5_NO!$D$41</f>
        <v>2900.23</v>
      </c>
      <c r="E15" s="138">
        <f>[9]STA_SP5_NO!$E$41</f>
        <v>243688.72</v>
      </c>
      <c r="F15" s="138">
        <f>[9]STA_SP5_NO!$G$41</f>
        <v>251676.76</v>
      </c>
      <c r="G15" s="138">
        <f>E15+F15+[9]STA_SP5_NO!$I$41</f>
        <v>509941.67</v>
      </c>
      <c r="H15" s="134">
        <v>0</v>
      </c>
      <c r="I15" s="134">
        <v>0</v>
      </c>
      <c r="J15" s="138">
        <f>[9]STA_SP5_NO!$M$41</f>
        <v>0</v>
      </c>
      <c r="K15" s="174">
        <f t="shared" si="2"/>
        <v>1268783.5899999999</v>
      </c>
    </row>
    <row r="16" spans="1:11" x14ac:dyDescent="0.25">
      <c r="A16" s="88">
        <v>10</v>
      </c>
      <c r="B16" s="131" t="s">
        <v>10</v>
      </c>
      <c r="C16" s="140">
        <f>[10]STA_SP5_NO!$C$41+[10]STA_SP5_NO!$K$41</f>
        <v>762518</v>
      </c>
      <c r="D16" s="139">
        <f>[10]STA_SP5_NO!$D$41</f>
        <v>16528</v>
      </c>
      <c r="E16" s="140">
        <f>[10]STA_SP5_NO!$E$41</f>
        <v>329906</v>
      </c>
      <c r="F16" s="140">
        <f>[10]STA_SP5_NO!$G$41</f>
        <v>460156</v>
      </c>
      <c r="G16" s="139">
        <f>E16+F16+[10]STA_SP5_NO!$I$41</f>
        <v>810370</v>
      </c>
      <c r="H16" s="140">
        <v>0</v>
      </c>
      <c r="I16" s="140">
        <v>0</v>
      </c>
      <c r="J16" s="139">
        <f>[10]STA_SP5_NO!$M$41</f>
        <v>0</v>
      </c>
      <c r="K16" s="219">
        <f t="shared" si="2"/>
        <v>1589416</v>
      </c>
    </row>
    <row r="17" spans="1:11" s="1" customFormat="1" ht="15.75" thickBot="1" x14ac:dyDescent="0.3">
      <c r="A17" s="91">
        <v>11</v>
      </c>
      <c r="B17" s="287" t="s">
        <v>95</v>
      </c>
      <c r="C17" s="288">
        <f>[11]STA_SP5_NO!$C$41+[11]STA_SP5_NO!$K$41</f>
        <v>8608.31</v>
      </c>
      <c r="D17" s="289">
        <f>[11]STA_SP5_NO!$D$41</f>
        <v>0</v>
      </c>
      <c r="E17" s="288">
        <f>[11]STA_SP5_NO!$E$41</f>
        <v>9904.19</v>
      </c>
      <c r="F17" s="288">
        <f>[11]STA_SP5_NO!$G$41</f>
        <v>35814.71</v>
      </c>
      <c r="G17" s="289">
        <f>E17+F17+[11]STA_SP5_NO!$I$41</f>
        <v>45947.49</v>
      </c>
      <c r="H17" s="288">
        <v>0</v>
      </c>
      <c r="I17" s="288">
        <v>0</v>
      </c>
      <c r="J17" s="289">
        <f>[11]STA_SP5_NO!$M$41</f>
        <v>0</v>
      </c>
      <c r="K17" s="289">
        <f t="shared" si="2"/>
        <v>54555.799999999996</v>
      </c>
    </row>
    <row r="18" spans="1:11" ht="15.75" thickBot="1" x14ac:dyDescent="0.3">
      <c r="A18" s="275"/>
      <c r="B18" s="276" t="s">
        <v>55</v>
      </c>
      <c r="C18" s="282">
        <f>SUM(C19:C24)</f>
        <v>44555.47</v>
      </c>
      <c r="D18" s="283">
        <f>SUM(D19:D24)</f>
        <v>114020</v>
      </c>
      <c r="E18" s="283">
        <f>SUM(E19:E24)</f>
        <v>95399.6</v>
      </c>
      <c r="F18" s="283">
        <f>SUM(F19:F24)</f>
        <v>34432.14</v>
      </c>
      <c r="G18" s="284">
        <f>G19+G20+G21+G22+G23+G24</f>
        <v>137760.76999999999</v>
      </c>
      <c r="H18" s="283">
        <f>SUM(H19:H24)</f>
        <v>0</v>
      </c>
      <c r="I18" s="283">
        <f>SUM(I19:I24)</f>
        <v>12276771.539999999</v>
      </c>
      <c r="J18" s="283">
        <f>SUM(J19:J24)</f>
        <v>0</v>
      </c>
      <c r="K18" s="284">
        <f>SUM(K19:K24)</f>
        <v>12573107.779999999</v>
      </c>
    </row>
    <row r="19" spans="1:11" x14ac:dyDescent="0.25">
      <c r="A19" s="91">
        <v>1</v>
      </c>
      <c r="B19" s="130" t="s">
        <v>10</v>
      </c>
      <c r="C19" s="98">
        <f>[12]STA_SP4_ZO!$C$51</f>
        <v>18976</v>
      </c>
      <c r="D19" s="98">
        <f>[12]STA_SP4_ZO!$F$51</f>
        <v>0</v>
      </c>
      <c r="E19" s="98">
        <f>[12]STA_SP4_ZO!$G$51</f>
        <v>21126</v>
      </c>
      <c r="F19" s="204">
        <f>[12]STA_SP4_ZO!$H$51</f>
        <v>7236</v>
      </c>
      <c r="G19" s="141">
        <f>E19+F19+[12]STA_SP4_ZO!$J$51</f>
        <v>29464</v>
      </c>
      <c r="H19" s="133">
        <v>0</v>
      </c>
      <c r="I19" s="141">
        <f>[12]STA_SP4_ZO!$D$51+[12]STA_SP4_ZO!$E$51</f>
        <v>4220230</v>
      </c>
      <c r="J19" s="133">
        <v>0</v>
      </c>
      <c r="K19" s="137">
        <f t="shared" ref="K19:K24" si="3">C19+D19+G19+I19+J19</f>
        <v>4268670</v>
      </c>
    </row>
    <row r="20" spans="1:11" x14ac:dyDescent="0.25">
      <c r="A20" s="88">
        <v>2</v>
      </c>
      <c r="B20" s="93" t="s">
        <v>31</v>
      </c>
      <c r="C20" s="206">
        <f>[13]STA_SP4_ZO!$C$51</f>
        <v>13064</v>
      </c>
      <c r="D20" s="206">
        <f>[13]STA_SP4_ZO!$F$51</f>
        <v>114020</v>
      </c>
      <c r="E20" s="206">
        <f>[13]STA_SP4_ZO!$G$51</f>
        <v>50154</v>
      </c>
      <c r="F20" s="203">
        <f>[13]STA_SP4_ZO!$H$51</f>
        <v>9580</v>
      </c>
      <c r="G20" s="138">
        <f>[13]STA_SP4_ZO!$J$51+E20+F20</f>
        <v>60327</v>
      </c>
      <c r="H20" s="134">
        <v>0</v>
      </c>
      <c r="I20" s="134">
        <f>[13]STA_SP4_ZO!$D$51+[13]STA_SP4_ZO!$E$51</f>
        <v>3603591</v>
      </c>
      <c r="J20" s="134">
        <v>0</v>
      </c>
      <c r="K20" s="174">
        <f t="shared" si="3"/>
        <v>3791002</v>
      </c>
    </row>
    <row r="21" spans="1:11" x14ac:dyDescent="0.25">
      <c r="A21" s="91">
        <v>3</v>
      </c>
      <c r="B21" s="130" t="s">
        <v>7</v>
      </c>
      <c r="C21" s="133">
        <f>[14]STA_SP4_ZO!$C$51</f>
        <v>6455.18</v>
      </c>
      <c r="D21" s="133">
        <f>[14]STA_SP4_ZO!$F$51</f>
        <v>0</v>
      </c>
      <c r="E21" s="133">
        <f>[14]STA_SP4_ZO!$G$51</f>
        <v>9297.24</v>
      </c>
      <c r="F21" s="204">
        <f>[14]STA_SP4_ZO!$H$51</f>
        <v>13502.75</v>
      </c>
      <c r="G21" s="141">
        <f>[14]STA_SP4_ZO!$J$51+E21+F21</f>
        <v>27600.42</v>
      </c>
      <c r="H21" s="133">
        <v>0</v>
      </c>
      <c r="I21" s="141">
        <f>[14]STA_SP4_ZO!$D$51+[14]STA_SP4_ZO!$E$51</f>
        <v>2162103.2199999997</v>
      </c>
      <c r="J21" s="133">
        <v>0</v>
      </c>
      <c r="K21" s="137">
        <f t="shared" si="3"/>
        <v>2196158.8199999998</v>
      </c>
    </row>
    <row r="22" spans="1:11" x14ac:dyDescent="0.25">
      <c r="A22" s="107">
        <v>4</v>
      </c>
      <c r="B22" s="132" t="s">
        <v>96</v>
      </c>
      <c r="C22" s="135">
        <f>[15]STA_SP4_ZO!$C$51</f>
        <v>4076</v>
      </c>
      <c r="D22" s="135">
        <f>[15]STA_SP4_ZO!$F$51</f>
        <v>0</v>
      </c>
      <c r="E22" s="135">
        <f>[15]STA_SP4_ZO!$G$51</f>
        <v>10927</v>
      </c>
      <c r="F22" s="205">
        <f>[15]STA_SP4_ZO!$H$51</f>
        <v>2029</v>
      </c>
      <c r="G22" s="199">
        <f>E22+F22+[15]STA_SP4_ZO!$J$51</f>
        <v>14132</v>
      </c>
      <c r="H22" s="135">
        <v>0</v>
      </c>
      <c r="I22" s="135">
        <f>[15]STA_SP4_ZO!$D$51+[15]STA_SP4_ZO!$E$51</f>
        <v>1026008</v>
      </c>
      <c r="J22" s="135">
        <v>0</v>
      </c>
      <c r="K22" s="174">
        <f t="shared" si="3"/>
        <v>1044216</v>
      </c>
    </row>
    <row r="23" spans="1:11" s="1" customFormat="1" x14ac:dyDescent="0.25">
      <c r="A23" s="92">
        <v>5</v>
      </c>
      <c r="B23" s="131" t="s">
        <v>4</v>
      </c>
      <c r="C23" s="140">
        <f>[16]STA_SP4_ZO!$C$51</f>
        <v>964.23</v>
      </c>
      <c r="D23" s="217">
        <f>[16]STA_SP4_ZO!$F$51</f>
        <v>0</v>
      </c>
      <c r="E23" s="140">
        <f>[16]STA_SP4_ZO!$G$51</f>
        <v>3707.81</v>
      </c>
      <c r="F23" s="218">
        <f>[16]STA_SP4_ZO!$H$51</f>
        <v>1867.5</v>
      </c>
      <c r="G23" s="139">
        <f>E23+F23+[16]STA_SP4_ZO!$J$51</f>
        <v>5830.8799999999992</v>
      </c>
      <c r="H23" s="140">
        <v>0</v>
      </c>
      <c r="I23" s="140">
        <f>[16]STA_SP4_ZO!$D$51+[16]STA_SP4_ZO!$E$51</f>
        <v>1239469.48</v>
      </c>
      <c r="J23" s="140">
        <v>0</v>
      </c>
      <c r="K23" s="219">
        <f t="shared" si="3"/>
        <v>1246264.5900000001</v>
      </c>
    </row>
    <row r="24" spans="1:11" s="1" customFormat="1" x14ac:dyDescent="0.25">
      <c r="A24" s="221">
        <v>6</v>
      </c>
      <c r="B24" s="222" t="s">
        <v>94</v>
      </c>
      <c r="C24" s="223">
        <f>[17]STA_SP4_ZO!$C$51</f>
        <v>1020.06</v>
      </c>
      <c r="D24" s="223">
        <f>[17]STA_SP4_ZO!$F$51</f>
        <v>0</v>
      </c>
      <c r="E24" s="223">
        <f>[17]STA_SP4_ZO!$G$51</f>
        <v>187.55</v>
      </c>
      <c r="F24" s="223">
        <f>[17]STA_SP4_ZO!$H$51</f>
        <v>216.89</v>
      </c>
      <c r="G24" s="223">
        <f>E24+F24+[17]STA_SP4_ZO!$J$51</f>
        <v>406.46999999999997</v>
      </c>
      <c r="H24" s="220">
        <v>0</v>
      </c>
      <c r="I24" s="223">
        <f>[17]STA_SP4_ZO!$D$51+[17]STA_SP4_ZO!$E$51</f>
        <v>25369.839999999997</v>
      </c>
      <c r="J24" s="224">
        <v>0</v>
      </c>
      <c r="K24" s="225">
        <f t="shared" si="3"/>
        <v>26796.369999999995</v>
      </c>
    </row>
    <row r="25" spans="1:11" ht="15.75" thickBot="1" x14ac:dyDescent="0.3">
      <c r="A25" s="581" t="s">
        <v>29</v>
      </c>
      <c r="B25" s="582"/>
      <c r="C25" s="285">
        <f t="shared" ref="C25:K25" si="4">C6+C18</f>
        <v>7453182.7699999996</v>
      </c>
      <c r="D25" s="285">
        <f t="shared" si="4"/>
        <v>239361.72</v>
      </c>
      <c r="E25" s="285">
        <f t="shared" si="4"/>
        <v>4147102.18</v>
      </c>
      <c r="F25" s="285">
        <f t="shared" si="4"/>
        <v>3115869.3400000003</v>
      </c>
      <c r="G25" s="286">
        <f t="shared" si="4"/>
        <v>7493138.2599999988</v>
      </c>
      <c r="H25" s="285">
        <f t="shared" si="4"/>
        <v>0</v>
      </c>
      <c r="I25" s="285">
        <f t="shared" si="4"/>
        <v>12276771.539999999</v>
      </c>
      <c r="J25" s="285">
        <f t="shared" si="4"/>
        <v>63794.61</v>
      </c>
      <c r="K25" s="286">
        <f t="shared" si="4"/>
        <v>27526248.899999999</v>
      </c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1">
    <mergeCell ref="A25:B25"/>
    <mergeCell ref="I4:I5"/>
    <mergeCell ref="J4:J5"/>
    <mergeCell ref="K4:K5"/>
    <mergeCell ref="B2:H2"/>
    <mergeCell ref="A4:A5"/>
    <mergeCell ref="B4:B5"/>
    <mergeCell ref="C4:C5"/>
    <mergeCell ref="D4:D5"/>
    <mergeCell ref="E4:G4"/>
    <mergeCell ref="H4:H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E34" sqref="E34"/>
    </sheetView>
  </sheetViews>
  <sheetFormatPr defaultRowHeight="15" x14ac:dyDescent="0.25"/>
  <cols>
    <col min="1" max="1" width="4.28515625" customWidth="1"/>
    <col min="2" max="2" width="27.85546875" customWidth="1"/>
    <col min="3" max="3" width="11" bestFit="1" customWidth="1"/>
    <col min="8" max="8" width="10.42578125" customWidth="1"/>
    <col min="10" max="10" width="10.28515625" bestFit="1" customWidth="1"/>
  </cols>
  <sheetData>
    <row r="1" spans="1:14" ht="23.25" customHeight="1" thickBot="1" x14ac:dyDescent="0.3">
      <c r="A1" s="152"/>
      <c r="B1" s="152"/>
      <c r="C1" s="434" t="s">
        <v>98</v>
      </c>
      <c r="D1" s="435"/>
      <c r="E1" s="435"/>
      <c r="F1" s="435"/>
      <c r="G1" s="435"/>
      <c r="H1" s="435"/>
      <c r="I1" s="435"/>
      <c r="J1" s="2"/>
      <c r="K1" s="2"/>
      <c r="L1" s="2"/>
      <c r="M1" s="2"/>
      <c r="N1" s="8"/>
    </row>
    <row r="2" spans="1:14" ht="15.75" thickBot="1" x14ac:dyDescent="0.3">
      <c r="A2" s="436" t="s">
        <v>0</v>
      </c>
      <c r="B2" s="446" t="s">
        <v>1</v>
      </c>
      <c r="C2" s="447" t="s">
        <v>2</v>
      </c>
      <c r="D2" s="448"/>
      <c r="E2" s="448"/>
      <c r="F2" s="448"/>
      <c r="G2" s="448"/>
      <c r="H2" s="448"/>
      <c r="I2" s="448"/>
      <c r="J2" s="448"/>
      <c r="K2" s="448"/>
      <c r="L2" s="448"/>
      <c r="M2" s="449"/>
      <c r="N2" s="422" t="s">
        <v>3</v>
      </c>
    </row>
    <row r="3" spans="1:14" ht="15.75" thickBot="1" x14ac:dyDescent="0.3">
      <c r="A3" s="437"/>
      <c r="B3" s="439"/>
      <c r="C3" s="228" t="s">
        <v>68</v>
      </c>
      <c r="D3" s="227" t="s">
        <v>4</v>
      </c>
      <c r="E3" s="228" t="s">
        <v>5</v>
      </c>
      <c r="F3" s="167" t="s">
        <v>6</v>
      </c>
      <c r="G3" s="326" t="s">
        <v>8</v>
      </c>
      <c r="H3" s="252" t="s">
        <v>93</v>
      </c>
      <c r="I3" s="326" t="s">
        <v>96</v>
      </c>
      <c r="J3" s="252" t="s">
        <v>9</v>
      </c>
      <c r="K3" s="326" t="s">
        <v>92</v>
      </c>
      <c r="L3" s="252" t="s">
        <v>10</v>
      </c>
      <c r="M3" s="331" t="s">
        <v>95</v>
      </c>
      <c r="N3" s="423"/>
    </row>
    <row r="4" spans="1:14" ht="15.75" thickBot="1" x14ac:dyDescent="0.3">
      <c r="A4" s="5">
        <v>1</v>
      </c>
      <c r="B4" s="9" t="s">
        <v>11</v>
      </c>
      <c r="C4" s="142">
        <f>[1]STA_SP1_NO!$C$10</f>
        <v>23929</v>
      </c>
      <c r="D4" s="145">
        <f>[2]STA_SP1_NO!$C$10</f>
        <v>26875</v>
      </c>
      <c r="E4" s="142">
        <f>[3]STA_SP1_NO!$C$10</f>
        <v>6797</v>
      </c>
      <c r="F4" s="144">
        <f>[4]STA_SP1_NO!$C$10</f>
        <v>32756</v>
      </c>
      <c r="G4" s="318">
        <f>[5]STA_SP1_NO!$C$10</f>
        <v>14476</v>
      </c>
      <c r="H4" s="144">
        <f>[6]STA_SP1_NO!$C$10</f>
        <v>19623</v>
      </c>
      <c r="I4" s="318">
        <f>[7]STA_SP1_NO!$C$10</f>
        <v>26240</v>
      </c>
      <c r="J4" s="144">
        <f>[8]STA_SP1_NO!$C$10</f>
        <v>16924</v>
      </c>
      <c r="K4" s="318">
        <f>[9]STA_SP1_NO!$C$10</f>
        <v>14633</v>
      </c>
      <c r="L4" s="330">
        <f>[10]STA_SP1_NO!$C$10</f>
        <v>31559</v>
      </c>
      <c r="M4" s="332">
        <f>[11]STA_SP1_NO!$C$10</f>
        <v>0</v>
      </c>
      <c r="N4" s="238">
        <f t="shared" ref="N4:N22" si="0">SUM(C4:M4)</f>
        <v>213812</v>
      </c>
    </row>
    <row r="5" spans="1:14" ht="15.75" thickBot="1" x14ac:dyDescent="0.3">
      <c r="A5" s="4">
        <v>2</v>
      </c>
      <c r="B5" s="10" t="s">
        <v>12</v>
      </c>
      <c r="C5" s="142">
        <f>[1]STA_SP1_NO!$C$20</f>
        <v>486</v>
      </c>
      <c r="D5" s="145">
        <f>[2]STA_SP1_NO!$C$20</f>
        <v>8706</v>
      </c>
      <c r="E5" s="142">
        <f>[3]STA_SP1_NO!$C$20</f>
        <v>18</v>
      </c>
      <c r="F5" s="144">
        <f>[4]STA_SP1_NO!$C$20</f>
        <v>2922</v>
      </c>
      <c r="G5" s="318">
        <f>[5]STA_SP1_NO!$C$20</f>
        <v>335</v>
      </c>
      <c r="H5" s="144">
        <f>[6]STA_SP1_NO!$C$20</f>
        <v>0</v>
      </c>
      <c r="I5" s="318">
        <f>[7]STA_SP1_NO!$C$20</f>
        <v>287</v>
      </c>
      <c r="J5" s="144">
        <f>[8]STA_SP1_NO!$C$20</f>
        <v>0</v>
      </c>
      <c r="K5" s="318">
        <f>[9]STA_SP1_NO!$C$20</f>
        <v>4682</v>
      </c>
      <c r="L5" s="330">
        <f>[10]STA_SP1_NO!$C$20</f>
        <v>506</v>
      </c>
      <c r="M5" s="332">
        <f>[11]STA_SP1_NO!$C$20</f>
        <v>0</v>
      </c>
      <c r="N5" s="239">
        <f t="shared" si="0"/>
        <v>17942</v>
      </c>
    </row>
    <row r="6" spans="1:14" ht="15.75" thickBot="1" x14ac:dyDescent="0.3">
      <c r="A6" s="4">
        <v>3</v>
      </c>
      <c r="B6" s="10" t="s">
        <v>13</v>
      </c>
      <c r="C6" s="142">
        <f>[1]STA_SP1_NO!$C$24</f>
        <v>1766</v>
      </c>
      <c r="D6" s="145">
        <f>[2]STA_SP1_NO!$C$24</f>
        <v>1717</v>
      </c>
      <c r="E6" s="142">
        <f>[3]STA_SP1_NO!$C$24</f>
        <v>2680</v>
      </c>
      <c r="F6" s="144">
        <f>[4]STA_SP1_NO!$C$24</f>
        <v>2254</v>
      </c>
      <c r="G6" s="318">
        <f>[5]STA_SP1_NO!$C$24</f>
        <v>1387</v>
      </c>
      <c r="H6" s="144">
        <f>[6]STA_SP1_NO!$C$24</f>
        <v>352</v>
      </c>
      <c r="I6" s="318">
        <f>[7]STA_SP1_NO!$C$24</f>
        <v>1070</v>
      </c>
      <c r="J6" s="144">
        <f>[8]STA_SP1_NO!$C$24</f>
        <v>1530</v>
      </c>
      <c r="K6" s="318">
        <f>[9]STA_SP1_NO!$C$24</f>
        <v>1191</v>
      </c>
      <c r="L6" s="330">
        <f>[10]STA_SP1_NO!$C$24</f>
        <v>1447</v>
      </c>
      <c r="M6" s="332">
        <f>[11]STA_SP1_NO!$C$24</f>
        <v>0</v>
      </c>
      <c r="N6" s="240">
        <f t="shared" si="0"/>
        <v>15394</v>
      </c>
    </row>
    <row r="7" spans="1:14" ht="15.75" thickBot="1" x14ac:dyDescent="0.3">
      <c r="A7" s="4">
        <v>4</v>
      </c>
      <c r="B7" s="10" t="s">
        <v>14</v>
      </c>
      <c r="C7" s="142">
        <f>[1]STA_SP1_NO!$C$27</f>
        <v>0</v>
      </c>
      <c r="D7" s="145">
        <f>[2]STA_SP1_NO!$C$27</f>
        <v>0</v>
      </c>
      <c r="E7" s="142">
        <f>[3]STA_SP1_NO!$C$27</f>
        <v>0</v>
      </c>
      <c r="F7" s="144">
        <f>[4]STA_SP1_NO!$C$27</f>
        <v>0</v>
      </c>
      <c r="G7" s="318">
        <f>[5]STA_SP1_NO!$C$27</f>
        <v>0</v>
      </c>
      <c r="H7" s="144">
        <f>[6]STA_SP1_NO!$C$27</f>
        <v>0</v>
      </c>
      <c r="I7" s="318">
        <f>[7]STA_SP1_NO!$C$27</f>
        <v>0</v>
      </c>
      <c r="J7" s="144">
        <f>[8]STA_SP1_NO!$C$27</f>
        <v>0</v>
      </c>
      <c r="K7" s="318">
        <f>[9]STA_SP1_NO!$C$27</f>
        <v>0</v>
      </c>
      <c r="L7" s="330">
        <f>[10]STA_SP1_NO!$C$27</f>
        <v>0</v>
      </c>
      <c r="M7" s="332">
        <f>[11]STA_SP1_NO!$C$27</f>
        <v>0</v>
      </c>
      <c r="N7" s="239">
        <f t="shared" si="0"/>
        <v>0</v>
      </c>
    </row>
    <row r="8" spans="1:14" ht="15.75" thickBot="1" x14ac:dyDescent="0.3">
      <c r="A8" s="4">
        <v>5</v>
      </c>
      <c r="B8" s="10" t="s">
        <v>15</v>
      </c>
      <c r="C8" s="142">
        <f>[1]STA_SP1_NO!$C$30</f>
        <v>0</v>
      </c>
      <c r="D8" s="145">
        <f>[2]STA_SP1_NO!$C$30</f>
        <v>0</v>
      </c>
      <c r="E8" s="142">
        <f>[3]STA_SP1_NO!$C$30</f>
        <v>0</v>
      </c>
      <c r="F8" s="144">
        <f>[4]STA_SP1_NO!$C$30</f>
        <v>0</v>
      </c>
      <c r="G8" s="318">
        <f>[5]STA_SP1_NO!$C$30</f>
        <v>7</v>
      </c>
      <c r="H8" s="144">
        <f>[6]STA_SP1_NO!$C$30</f>
        <v>0</v>
      </c>
      <c r="I8" s="318">
        <f>[7]STA_SP1_NO!$C$30</f>
        <v>0</v>
      </c>
      <c r="J8" s="144">
        <f>[8]STA_SP1_NO!$C$30</f>
        <v>1</v>
      </c>
      <c r="K8" s="318">
        <f>[9]STA_SP1_NO!$C$30</f>
        <v>0</v>
      </c>
      <c r="L8" s="330">
        <f>[10]STA_SP1_NO!$C$30</f>
        <v>0</v>
      </c>
      <c r="M8" s="332">
        <f>[11]STA_SP1_NO!$C$30</f>
        <v>0</v>
      </c>
      <c r="N8" s="239">
        <f t="shared" si="0"/>
        <v>8</v>
      </c>
    </row>
    <row r="9" spans="1:14" ht="15.75" thickBot="1" x14ac:dyDescent="0.3">
      <c r="A9" s="4">
        <v>6</v>
      </c>
      <c r="B9" s="10" t="s">
        <v>16</v>
      </c>
      <c r="C9" s="142">
        <f>[1]STA_SP1_NO!$C$33</f>
        <v>0</v>
      </c>
      <c r="D9" s="145">
        <f>[2]STA_SP1_NO!$C$33</f>
        <v>0</v>
      </c>
      <c r="E9" s="142">
        <f>[3]STA_SP1_NO!$C$33</f>
        <v>1</v>
      </c>
      <c r="F9" s="144">
        <f>[4]STA_SP1_NO!$C$33</f>
        <v>2</v>
      </c>
      <c r="G9" s="318">
        <f>[5]STA_SP1_NO!$C$33</f>
        <v>0</v>
      </c>
      <c r="H9" s="144">
        <f>[6]STA_SP1_NO!$C$33</f>
        <v>0</v>
      </c>
      <c r="I9" s="318">
        <f>[7]STA_SP1_NO!$C$33</f>
        <v>0</v>
      </c>
      <c r="J9" s="144">
        <f>[8]STA_SP1_NO!$C$33</f>
        <v>0</v>
      </c>
      <c r="K9" s="318">
        <f>[9]STA_SP1_NO!$C$33</f>
        <v>3</v>
      </c>
      <c r="L9" s="330">
        <f>[10]STA_SP1_NO!$C$33</f>
        <v>0</v>
      </c>
      <c r="M9" s="332">
        <f>[11]STA_SP1_NO!$C$33</f>
        <v>0</v>
      </c>
      <c r="N9" s="239">
        <f t="shared" si="0"/>
        <v>6</v>
      </c>
    </row>
    <row r="10" spans="1:14" ht="15.75" thickBot="1" x14ac:dyDescent="0.3">
      <c r="A10" s="4">
        <v>7</v>
      </c>
      <c r="B10" s="10" t="s">
        <v>17</v>
      </c>
      <c r="C10" s="142">
        <f>[1]STA_SP1_NO!$C$36</f>
        <v>46</v>
      </c>
      <c r="D10" s="145">
        <f>[2]STA_SP1_NO!$C$36</f>
        <v>184</v>
      </c>
      <c r="E10" s="142">
        <f>[3]STA_SP1_NO!$C$36</f>
        <v>100</v>
      </c>
      <c r="F10" s="144">
        <f>[4]STA_SP1_NO!$C$36</f>
        <v>78</v>
      </c>
      <c r="G10" s="318">
        <f>[5]STA_SP1_NO!$C$36</f>
        <v>137</v>
      </c>
      <c r="H10" s="144">
        <f>[6]STA_SP1_NO!$C$36</f>
        <v>0</v>
      </c>
      <c r="I10" s="318">
        <f>[7]STA_SP1_NO!$C$36</f>
        <v>60</v>
      </c>
      <c r="J10" s="144">
        <f>[8]STA_SP1_NO!$C$36</f>
        <v>43</v>
      </c>
      <c r="K10" s="318">
        <f>[9]STA_SP1_NO!$C$36</f>
        <v>72</v>
      </c>
      <c r="L10" s="330">
        <f>[10]STA_SP1_NO!$C$36</f>
        <v>4</v>
      </c>
      <c r="M10" s="332">
        <f>[11]STA_SP1_NO!$C$36</f>
        <v>0</v>
      </c>
      <c r="N10" s="239">
        <f t="shared" si="0"/>
        <v>724</v>
      </c>
    </row>
    <row r="11" spans="1:14" ht="15.75" thickBot="1" x14ac:dyDescent="0.3">
      <c r="A11" s="4">
        <v>8</v>
      </c>
      <c r="B11" s="10" t="s">
        <v>18</v>
      </c>
      <c r="C11" s="142">
        <f>[1]STA_SP1_NO!$C$40</f>
        <v>4514</v>
      </c>
      <c r="D11" s="145">
        <f>[2]STA_SP1_NO!$C$40</f>
        <v>5138</v>
      </c>
      <c r="E11" s="142">
        <f>[3]STA_SP1_NO!$C$40</f>
        <v>1504</v>
      </c>
      <c r="F11" s="144">
        <f>[4]STA_SP1_NO!$C$40</f>
        <v>7347</v>
      </c>
      <c r="G11" s="318">
        <f>[5]STA_SP1_NO!$C$40</f>
        <v>3762</v>
      </c>
      <c r="H11" s="144">
        <f>[6]STA_SP1_NO!$C$40</f>
        <v>302</v>
      </c>
      <c r="I11" s="318">
        <f>[7]STA_SP1_NO!$C$40</f>
        <v>1726</v>
      </c>
      <c r="J11" s="144">
        <f>[8]STA_SP1_NO!$C$40</f>
        <v>2067</v>
      </c>
      <c r="K11" s="318">
        <f>[9]STA_SP1_NO!$C$40</f>
        <v>2461</v>
      </c>
      <c r="L11" s="330">
        <f>[10]STA_SP1_NO!$C$40</f>
        <v>5718</v>
      </c>
      <c r="M11" s="332">
        <f>[11]STA_SP1_NO!$C$40</f>
        <v>0</v>
      </c>
      <c r="N11" s="240">
        <f t="shared" si="0"/>
        <v>34539</v>
      </c>
    </row>
    <row r="12" spans="1:14" ht="15.75" thickBot="1" x14ac:dyDescent="0.3">
      <c r="A12" s="4">
        <v>9</v>
      </c>
      <c r="B12" s="10" t="s">
        <v>19</v>
      </c>
      <c r="C12" s="142">
        <f>[1]STA_SP1_NO!$C$56</f>
        <v>4997</v>
      </c>
      <c r="D12" s="145">
        <f>[2]STA_SP1_NO!$C$56</f>
        <v>5776</v>
      </c>
      <c r="E12" s="142">
        <f>[3]STA_SP1_NO!$C$56</f>
        <v>570</v>
      </c>
      <c r="F12" s="144">
        <f>[4]STA_SP1_NO!$C$56</f>
        <v>12704</v>
      </c>
      <c r="G12" s="318">
        <f>[5]STA_SP1_NO!$C$56</f>
        <v>3264</v>
      </c>
      <c r="H12" s="144">
        <f>[6]STA_SP1_NO!$C$56</f>
        <v>193</v>
      </c>
      <c r="I12" s="318">
        <f>[7]STA_SP1_NO!$C$56</f>
        <v>896</v>
      </c>
      <c r="J12" s="144">
        <f>[8]STA_SP1_NO!$C$56</f>
        <v>1008</v>
      </c>
      <c r="K12" s="318">
        <f>[9]STA_SP1_NO!$C$56</f>
        <v>2625</v>
      </c>
      <c r="L12" s="330">
        <f>[10]STA_SP1_NO!$C$56</f>
        <v>5373</v>
      </c>
      <c r="M12" s="332">
        <f>[11]STA_SP1_NO!$C$56</f>
        <v>0</v>
      </c>
      <c r="N12" s="240">
        <f t="shared" si="0"/>
        <v>37406</v>
      </c>
    </row>
    <row r="13" spans="1:14" ht="15.75" thickBot="1" x14ac:dyDescent="0.3">
      <c r="A13" s="4">
        <v>10</v>
      </c>
      <c r="B13" s="10" t="s">
        <v>20</v>
      </c>
      <c r="C13" s="142">
        <f>[1]STA_SP1_NO!$C$88</f>
        <v>34541</v>
      </c>
      <c r="D13" s="145">
        <f>[2]STA_SP1_NO!$C$88</f>
        <v>18471</v>
      </c>
      <c r="E13" s="142">
        <f>[3]STA_SP1_NO!$C$88</f>
        <v>15222</v>
      </c>
      <c r="F13" s="144">
        <f>[4]STA_SP1_NO!$C$88</f>
        <v>21626</v>
      </c>
      <c r="G13" s="318">
        <f>[5]STA_SP1_NO!$C$88</f>
        <v>20502</v>
      </c>
      <c r="H13" s="144">
        <f>[6]STA_SP1_NO!$C$88</f>
        <v>31231</v>
      </c>
      <c r="I13" s="318">
        <f>[7]STA_SP1_NO!$C$88</f>
        <v>44164</v>
      </c>
      <c r="J13" s="144">
        <f>[8]STA_SP1_NO!$C$88</f>
        <v>24574</v>
      </c>
      <c r="K13" s="318">
        <f>[9]STA_SP1_NO!$C$88</f>
        <v>14721</v>
      </c>
      <c r="L13" s="330">
        <f>[10]STA_SP1_NO!$C$88</f>
        <v>30146</v>
      </c>
      <c r="M13" s="332">
        <f>[11]STA_SP1_NO!$C$88</f>
        <v>37</v>
      </c>
      <c r="N13" s="240">
        <f t="shared" si="0"/>
        <v>255235</v>
      </c>
    </row>
    <row r="14" spans="1:14" ht="15.75" thickBot="1" x14ac:dyDescent="0.3">
      <c r="A14" s="4">
        <v>11</v>
      </c>
      <c r="B14" s="10" t="s">
        <v>21</v>
      </c>
      <c r="C14" s="142">
        <f>[1]STA_SP1_NO!$C$124</f>
        <v>5</v>
      </c>
      <c r="D14" s="145">
        <f>[2]STA_SP1_NO!$C$124</f>
        <v>60</v>
      </c>
      <c r="E14" s="142">
        <f>[3]STA_SP1_NO!$C$124</f>
        <v>0</v>
      </c>
      <c r="F14" s="144">
        <f>[4]STA_SP1_NO!$C$124</f>
        <v>0</v>
      </c>
      <c r="G14" s="318">
        <f>[5]STA_SP1_NO!$C$124</f>
        <v>5</v>
      </c>
      <c r="H14" s="144">
        <f>[6]STA_SP1_NO!$C$124</f>
        <v>0</v>
      </c>
      <c r="I14" s="318">
        <f>[7]STA_SP1_NO!$C$124</f>
        <v>0</v>
      </c>
      <c r="J14" s="144">
        <f>[8]STA_SP1_NO!$C$124</f>
        <v>9</v>
      </c>
      <c r="K14" s="318">
        <f>[9]STA_SP1_NO!$C$124</f>
        <v>0</v>
      </c>
      <c r="L14" s="330">
        <f>[10]STA_SP1_NO!$C$124</f>
        <v>2</v>
      </c>
      <c r="M14" s="332">
        <f>[11]STA_SP1_NO!$C$124</f>
        <v>0</v>
      </c>
      <c r="N14" s="239">
        <f t="shared" si="0"/>
        <v>81</v>
      </c>
    </row>
    <row r="15" spans="1:14" ht="15.75" thickBot="1" x14ac:dyDescent="0.3">
      <c r="A15" s="4">
        <v>12</v>
      </c>
      <c r="B15" s="10" t="s">
        <v>22</v>
      </c>
      <c r="C15" s="142">
        <f>[1]STA_SP1_NO!$C$128</f>
        <v>7</v>
      </c>
      <c r="D15" s="145">
        <f>[2]STA_SP1_NO!$C$128</f>
        <v>0</v>
      </c>
      <c r="E15" s="142">
        <f>[3]STA_SP1_NO!$C$128</f>
        <v>1</v>
      </c>
      <c r="F15" s="144">
        <f>[4]STA_SP1_NO!$C$128</f>
        <v>22</v>
      </c>
      <c r="G15" s="318">
        <f>[5]STA_SP1_NO!$C$128</f>
        <v>20</v>
      </c>
      <c r="H15" s="144">
        <f>[6]STA_SP1_NO!$C$128</f>
        <v>0</v>
      </c>
      <c r="I15" s="318">
        <f>[7]STA_SP1_NO!$C$128</f>
        <v>17</v>
      </c>
      <c r="J15" s="144">
        <f>[8]STA_SP1_NO!$C$128</f>
        <v>7</v>
      </c>
      <c r="K15" s="318">
        <f>[9]STA_SP1_NO!$C$128</f>
        <v>3</v>
      </c>
      <c r="L15" s="330">
        <f>[10]STA_SP1_NO!$C$128</f>
        <v>2</v>
      </c>
      <c r="M15" s="332">
        <f>[11]STA_SP1_NO!$C$128</f>
        <v>0</v>
      </c>
      <c r="N15" s="239">
        <f t="shared" si="0"/>
        <v>79</v>
      </c>
    </row>
    <row r="16" spans="1:14" ht="15.75" thickBot="1" x14ac:dyDescent="0.3">
      <c r="A16" s="4">
        <v>13</v>
      </c>
      <c r="B16" s="10" t="s">
        <v>23</v>
      </c>
      <c r="C16" s="142">
        <f>[1]STA_SP1_NO!$C$132</f>
        <v>1815</v>
      </c>
      <c r="D16" s="145">
        <f>[2]STA_SP1_NO!$C$132</f>
        <v>3873</v>
      </c>
      <c r="E16" s="142">
        <f>[3]STA_SP1_NO!$C$132</f>
        <v>482</v>
      </c>
      <c r="F16" s="144">
        <f>[4]STA_SP1_NO!$C$132</f>
        <v>4961</v>
      </c>
      <c r="G16" s="318">
        <f>[5]STA_SP1_NO!$C$132</f>
        <v>3823</v>
      </c>
      <c r="H16" s="144">
        <f>[6]STA_SP1_NO!$C$132</f>
        <v>120</v>
      </c>
      <c r="I16" s="318">
        <f>[7]STA_SP1_NO!$C$132</f>
        <v>937</v>
      </c>
      <c r="J16" s="144">
        <f>[8]STA_SP1_NO!$C$132</f>
        <v>1471</v>
      </c>
      <c r="K16" s="318">
        <f>[9]STA_SP1_NO!$C$132</f>
        <v>1174</v>
      </c>
      <c r="L16" s="330">
        <f>[10]STA_SP1_NO!$C$132</f>
        <v>5349</v>
      </c>
      <c r="M16" s="332">
        <f>[11]STA_SP1_NO!$C$132</f>
        <v>0</v>
      </c>
      <c r="N16" s="239">
        <f t="shared" si="0"/>
        <v>24005</v>
      </c>
    </row>
    <row r="17" spans="1:14" ht="15.75" thickBot="1" x14ac:dyDescent="0.3">
      <c r="A17" s="4">
        <v>14</v>
      </c>
      <c r="B17" s="10" t="s">
        <v>24</v>
      </c>
      <c r="C17" s="142">
        <f>[1]STA_SP1_NO!$C$153</f>
        <v>339</v>
      </c>
      <c r="D17" s="145">
        <f>[2]STA_SP1_NO!$C$153</f>
        <v>770</v>
      </c>
      <c r="E17" s="142">
        <f>[3]STA_SP1_NO!$C$153</f>
        <v>6</v>
      </c>
      <c r="F17" s="144">
        <f>[4]STA_SP1_NO!$C$153</f>
        <v>11</v>
      </c>
      <c r="G17" s="318">
        <f>[5]STA_SP1_NO!$C$153</f>
        <v>0</v>
      </c>
      <c r="H17" s="144">
        <f>[6]STA_SP1_NO!$C$153</f>
        <v>0</v>
      </c>
      <c r="I17" s="318">
        <f>[7]STA_SP1_NO!$C$153</f>
        <v>0</v>
      </c>
      <c r="J17" s="144">
        <f>[8]STA_SP1_NO!$C$153</f>
        <v>0</v>
      </c>
      <c r="K17" s="318">
        <f>[9]STA_SP1_NO!$C$153</f>
        <v>1369</v>
      </c>
      <c r="L17" s="330">
        <f>[10]STA_SP1_NO!$C$153</f>
        <v>656</v>
      </c>
      <c r="M17" s="332">
        <f>[11]STA_SP1_NO!$C$153</f>
        <v>0</v>
      </c>
      <c r="N17" s="239">
        <f t="shared" si="0"/>
        <v>3151</v>
      </c>
    </row>
    <row r="18" spans="1:14" ht="15.75" thickBot="1" x14ac:dyDescent="0.3">
      <c r="A18" s="4">
        <v>15</v>
      </c>
      <c r="B18" s="10" t="s">
        <v>25</v>
      </c>
      <c r="C18" s="142">
        <f>[1]STA_SP1_NO!$C$158</f>
        <v>0</v>
      </c>
      <c r="D18" s="145">
        <f>[2]STA_SP1_NO!$C$158</f>
        <v>0</v>
      </c>
      <c r="E18" s="142">
        <f>[3]STA_SP1_NO!$C$158</f>
        <v>3</v>
      </c>
      <c r="F18" s="144">
        <f>[4]STA_SP1_NO!$C$158</f>
        <v>1</v>
      </c>
      <c r="G18" s="318">
        <f>[5]STA_SP1_NO!$C$158</f>
        <v>2</v>
      </c>
      <c r="H18" s="144">
        <f>[6]STA_SP1_NO!$C$158</f>
        <v>0</v>
      </c>
      <c r="I18" s="318">
        <f>[7]STA_SP1_NO!$C$158</f>
        <v>0</v>
      </c>
      <c r="J18" s="144">
        <f>[8]STA_SP1_NO!$C$158</f>
        <v>0</v>
      </c>
      <c r="K18" s="318">
        <f>[9]STA_SP1_NO!$C$158</f>
        <v>1</v>
      </c>
      <c r="L18" s="330">
        <f>[10]STA_SP1_NO!$C$158</f>
        <v>0</v>
      </c>
      <c r="M18" s="332">
        <f>[11]STA_SP1_NO!$C$158</f>
        <v>0</v>
      </c>
      <c r="N18" s="239">
        <f t="shared" si="0"/>
        <v>7</v>
      </c>
    </row>
    <row r="19" spans="1:14" ht="15.75" thickBot="1" x14ac:dyDescent="0.3">
      <c r="A19" s="4">
        <v>16</v>
      </c>
      <c r="B19" s="10" t="s">
        <v>26</v>
      </c>
      <c r="C19" s="142">
        <f>[1]STA_SP1_NO!$C$161</f>
        <v>11</v>
      </c>
      <c r="D19" s="145">
        <f>[2]STA_SP1_NO!$C$161</f>
        <v>21</v>
      </c>
      <c r="E19" s="142">
        <f>[3]STA_SP1_NO!$C$161</f>
        <v>1</v>
      </c>
      <c r="F19" s="144">
        <f>[4]STA_SP1_NO!$C$161</f>
        <v>144</v>
      </c>
      <c r="G19" s="318">
        <f>[5]STA_SP1_NO!$C$161</f>
        <v>245</v>
      </c>
      <c r="H19" s="144">
        <f>[6]STA_SP1_NO!$C$161</f>
        <v>0</v>
      </c>
      <c r="I19" s="318">
        <f>[7]STA_SP1_NO!$C$161</f>
        <v>8</v>
      </c>
      <c r="J19" s="144">
        <f>[8]STA_SP1_NO!$C$161</f>
        <v>0</v>
      </c>
      <c r="K19" s="318">
        <f>[9]STA_SP1_NO!$C$161</f>
        <v>12</v>
      </c>
      <c r="L19" s="330">
        <f>[10]STA_SP1_NO!$C$161</f>
        <v>5</v>
      </c>
      <c r="M19" s="332">
        <f>[11]STA_SP1_NO!$C$161</f>
        <v>0</v>
      </c>
      <c r="N19" s="239">
        <f t="shared" si="0"/>
        <v>447</v>
      </c>
    </row>
    <row r="20" spans="1:14" ht="15.75" thickBot="1" x14ac:dyDescent="0.3">
      <c r="A20" s="4">
        <v>17</v>
      </c>
      <c r="B20" s="10" t="s">
        <v>27</v>
      </c>
      <c r="C20" s="142">
        <f>[1]STA_SP1_NO!$C$167</f>
        <v>0</v>
      </c>
      <c r="D20" s="145">
        <f>[2]STA_SP1_NO!$C$167</f>
        <v>0</v>
      </c>
      <c r="E20" s="142">
        <f>[3]STA_SP1_NO!$C$167</f>
        <v>0</v>
      </c>
      <c r="F20" s="144">
        <f>[4]STA_SP1_NO!$C$167</f>
        <v>0</v>
      </c>
      <c r="G20" s="318">
        <f>[5]STA_SP1_NO!$C$167</f>
        <v>0</v>
      </c>
      <c r="H20" s="144">
        <f>[6]STA_SP1_NO!$C$167</f>
        <v>0</v>
      </c>
      <c r="I20" s="318">
        <f>[7]STA_SP1_NO!$C$167</f>
        <v>0</v>
      </c>
      <c r="J20" s="144">
        <f>[8]STA_SP1_NO!$C$167</f>
        <v>0</v>
      </c>
      <c r="K20" s="318">
        <f>[9]STA_SP1_NO!$C$167</f>
        <v>0</v>
      </c>
      <c r="L20" s="330">
        <f>[10]STA_SP1_NO!$C$167</f>
        <v>0</v>
      </c>
      <c r="M20" s="332">
        <f>[11]STA_SP1_NO!$C$167</f>
        <v>0</v>
      </c>
      <c r="N20" s="239">
        <f t="shared" si="0"/>
        <v>0</v>
      </c>
    </row>
    <row r="21" spans="1:14" ht="15.75" thickBot="1" x14ac:dyDescent="0.3">
      <c r="A21" s="6">
        <v>18</v>
      </c>
      <c r="B21" s="11" t="s">
        <v>28</v>
      </c>
      <c r="C21" s="142">
        <f>[1]STA_SP1_NO!$C$170</f>
        <v>6046</v>
      </c>
      <c r="D21" s="145">
        <f>[2]STA_SP1_NO!$C$170</f>
        <v>15646</v>
      </c>
      <c r="E21" s="142">
        <f>[3]STA_SP1_NO!$C$170</f>
        <v>2707</v>
      </c>
      <c r="F21" s="144">
        <f>[4]STA_SP1_NO!$C$170</f>
        <v>17448</v>
      </c>
      <c r="G21" s="318">
        <f>[5]STA_SP1_NO!$C$170</f>
        <v>16617</v>
      </c>
      <c r="H21" s="144">
        <f>[6]STA_SP1_NO!$C$170</f>
        <v>1759</v>
      </c>
      <c r="I21" s="318">
        <f>[7]STA_SP1_NO!$C$170</f>
        <v>8139</v>
      </c>
      <c r="J21" s="144">
        <f>[8]STA_SP1_NO!$C$170</f>
        <v>5409</v>
      </c>
      <c r="K21" s="318">
        <f>[9]STA_SP1_NO!$C$170</f>
        <v>4673</v>
      </c>
      <c r="L21" s="144">
        <f>[10]STA_SP1_NO!$C$170</f>
        <v>5895</v>
      </c>
      <c r="M21" s="332">
        <f>[11]STA_SP1_NO!$C$170</f>
        <v>0</v>
      </c>
      <c r="N21" s="241">
        <f t="shared" si="0"/>
        <v>84339</v>
      </c>
    </row>
    <row r="22" spans="1:14" ht="15.75" thickBot="1" x14ac:dyDescent="0.3">
      <c r="A22" s="7"/>
      <c r="B22" s="19" t="s">
        <v>29</v>
      </c>
      <c r="C22" s="111">
        <f>[1]STA_SP1_NO!$C$175</f>
        <v>49592</v>
      </c>
      <c r="D22" s="112">
        <f>[2]STA_SP1_NO!$C$175</f>
        <v>51531</v>
      </c>
      <c r="E22" s="113">
        <f>[3]STA_SP1_NO!$C$175</f>
        <v>22683</v>
      </c>
      <c r="F22" s="325">
        <f>[4]STA_SP1_NO!$C$175</f>
        <v>58051</v>
      </c>
      <c r="G22" s="327">
        <f>[5]STA_SP1_NO!$C$175</f>
        <v>43448</v>
      </c>
      <c r="H22" s="325">
        <f>[6]STA_SP1_NO!$C$175</f>
        <v>33602</v>
      </c>
      <c r="I22" s="327">
        <f>[7]STA_SP1_NO!$C$175</f>
        <v>55609</v>
      </c>
      <c r="J22" s="325">
        <f>[8]STA_SP1_NO!$C$175</f>
        <v>34737</v>
      </c>
      <c r="K22" s="327">
        <f>[9]STA_SP1_NO!$C$175</f>
        <v>34283</v>
      </c>
      <c r="L22" s="325">
        <f>[10]STA_SP1_NO!$C$175</f>
        <v>56416</v>
      </c>
      <c r="M22" s="333">
        <f>[11]STA_SP1_NO!$C$175</f>
        <v>37</v>
      </c>
      <c r="N22" s="242">
        <f t="shared" si="0"/>
        <v>439989</v>
      </c>
    </row>
    <row r="23" spans="1:14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75" thickBot="1" x14ac:dyDescent="0.3">
      <c r="A24" s="428" t="s">
        <v>30</v>
      </c>
      <c r="B24" s="429"/>
      <c r="C24" s="23">
        <f>C22/N22</f>
        <v>0.11271190870680858</v>
      </c>
      <c r="D24" s="24">
        <f>D22/N22</f>
        <v>0.11711883706183564</v>
      </c>
      <c r="E24" s="25">
        <f>E22/N22</f>
        <v>5.1553561566311884E-2</v>
      </c>
      <c r="F24" s="329">
        <f>F22/N22</f>
        <v>0.13193738934382451</v>
      </c>
      <c r="G24" s="328">
        <f>G22/N22</f>
        <v>9.8747923243535637E-2</v>
      </c>
      <c r="H24" s="329">
        <f>H22/N22</f>
        <v>7.6370091070458584E-2</v>
      </c>
      <c r="I24" s="328">
        <f>I22/N22</f>
        <v>0.12638725059035566</v>
      </c>
      <c r="J24" s="329">
        <f>J22/N22</f>
        <v>7.8949701015252657E-2</v>
      </c>
      <c r="K24" s="328">
        <f>K22/N22</f>
        <v>7.7917857037335031E-2</v>
      </c>
      <c r="L24" s="329">
        <f>L22/N22</f>
        <v>0.12822138735286565</v>
      </c>
      <c r="M24" s="334">
        <f>M22/N22</f>
        <v>8.4093011416194497E-5</v>
      </c>
      <c r="N24" s="245">
        <f>SUM(C24:M24)</f>
        <v>0.99999999999999989</v>
      </c>
    </row>
    <row r="25" spans="1:14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thickBot="1" x14ac:dyDescent="0.3">
      <c r="A26" s="436" t="s">
        <v>0</v>
      </c>
      <c r="B26" s="438" t="s">
        <v>1</v>
      </c>
      <c r="C26" s="454" t="s">
        <v>89</v>
      </c>
      <c r="D26" s="455"/>
      <c r="E26" s="455"/>
      <c r="F26" s="455"/>
      <c r="G26" s="455"/>
      <c r="H26" s="456"/>
      <c r="I26" s="452" t="s">
        <v>3</v>
      </c>
      <c r="J26" s="1"/>
      <c r="K26" s="1"/>
      <c r="L26" s="1"/>
      <c r="M26" s="1"/>
      <c r="N26" s="1"/>
    </row>
    <row r="27" spans="1:14" ht="15.75" thickBot="1" x14ac:dyDescent="0.3">
      <c r="A27" s="437"/>
      <c r="B27" s="440"/>
      <c r="C27" s="180" t="s">
        <v>10</v>
      </c>
      <c r="D27" s="181" t="s">
        <v>31</v>
      </c>
      <c r="E27" s="180" t="s">
        <v>7</v>
      </c>
      <c r="F27" s="181" t="s">
        <v>96</v>
      </c>
      <c r="G27" s="182" t="s">
        <v>4</v>
      </c>
      <c r="H27" s="211" t="s">
        <v>94</v>
      </c>
      <c r="I27" s="453"/>
      <c r="J27" s="81"/>
      <c r="K27" s="424" t="s">
        <v>32</v>
      </c>
      <c r="L27" s="425"/>
      <c r="M27" s="232">
        <f>N22</f>
        <v>439989</v>
      </c>
      <c r="N27" s="233">
        <f>M27/M29</f>
        <v>0.97603551083426499</v>
      </c>
    </row>
    <row r="28" spans="1:14" ht="15.75" thickBot="1" x14ac:dyDescent="0.3">
      <c r="A28" s="22">
        <v>19</v>
      </c>
      <c r="B28" s="80" t="s">
        <v>33</v>
      </c>
      <c r="C28" s="187">
        <f>[12]STA_SP1_ZO!$I$51</f>
        <v>1313</v>
      </c>
      <c r="D28" s="209">
        <f>[13]STA_SP1_ZO!$I$51</f>
        <v>575</v>
      </c>
      <c r="E28" s="187">
        <f>[14]STA_SP1_ZO!$I$51</f>
        <v>648</v>
      </c>
      <c r="F28" s="186">
        <f>[15]STA_SP1_ZO!$I$51</f>
        <v>6122</v>
      </c>
      <c r="G28" s="187">
        <f>[16]STA_SP1_ZO!$I$51</f>
        <v>1930</v>
      </c>
      <c r="H28" s="212">
        <f>[17]STA_SP1_ZO!$I$51</f>
        <v>215</v>
      </c>
      <c r="I28" s="243">
        <f>SUM(C28:H28)</f>
        <v>10803</v>
      </c>
      <c r="J28" s="81"/>
      <c r="K28" s="424" t="s">
        <v>33</v>
      </c>
      <c r="L28" s="425"/>
      <c r="M28" s="234">
        <f>I28</f>
        <v>10803</v>
      </c>
      <c r="N28" s="235">
        <f>M28/M29</f>
        <v>2.3964489165734973E-2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0" t="s">
        <v>3</v>
      </c>
      <c r="L29" s="451"/>
      <c r="M29" s="236">
        <f>M27+M28</f>
        <v>450792</v>
      </c>
      <c r="N29" s="237">
        <f>M29/M29</f>
        <v>1</v>
      </c>
    </row>
    <row r="30" spans="1:14" ht="15.75" thickBot="1" x14ac:dyDescent="0.3">
      <c r="A30" s="428" t="s">
        <v>34</v>
      </c>
      <c r="B30" s="429"/>
      <c r="C30" s="23">
        <f>C28/I28</f>
        <v>0.12154031287605295</v>
      </c>
      <c r="D30" s="82">
        <f>D28/I28</f>
        <v>5.3225955753031566E-2</v>
      </c>
      <c r="E30" s="23">
        <f>E28/I28</f>
        <v>5.9983337961677312E-2</v>
      </c>
      <c r="F30" s="82">
        <f>F28/I28</f>
        <v>0.56669443673053777</v>
      </c>
      <c r="G30" s="23">
        <f>G28/I28</f>
        <v>0.17865407757104507</v>
      </c>
      <c r="H30" s="82">
        <f>H28/I28</f>
        <v>1.9901879107655281E-2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K29:L29"/>
    <mergeCell ref="A30:B30"/>
    <mergeCell ref="A26:A27"/>
    <mergeCell ref="B26:B27"/>
    <mergeCell ref="K27:L27"/>
    <mergeCell ref="I26:I27"/>
    <mergeCell ref="C26:H26"/>
    <mergeCell ref="N2:N3"/>
    <mergeCell ref="A24:B24"/>
    <mergeCell ref="C1:I1"/>
    <mergeCell ref="A2:A3"/>
    <mergeCell ref="B2:B3"/>
    <mergeCell ref="C2:M2"/>
  </mergeCells>
  <pageMargins left="0.25" right="0.25" top="0.75" bottom="0.75" header="0.3" footer="0.3"/>
  <pageSetup paperSize="9" scale="9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D26" sqref="D26"/>
    </sheetView>
  </sheetViews>
  <sheetFormatPr defaultRowHeight="15" x14ac:dyDescent="0.25"/>
  <cols>
    <col min="3" max="3" width="15" customWidth="1"/>
    <col min="4" max="4" width="17.28515625" customWidth="1"/>
    <col min="5" max="5" width="19.140625" customWidth="1"/>
    <col min="6" max="6" width="24.42578125" customWidth="1"/>
    <col min="7" max="7" width="25.85546875" customWidth="1"/>
  </cols>
  <sheetData>
    <row r="1" spans="1:8" x14ac:dyDescent="0.25">
      <c r="A1" s="173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594" t="s">
        <v>120</v>
      </c>
      <c r="C4" s="594"/>
      <c r="D4" s="594"/>
      <c r="E4" s="594"/>
      <c r="F4" s="594"/>
      <c r="G4" s="594"/>
      <c r="H4" s="594"/>
    </row>
    <row r="5" spans="1:8" x14ac:dyDescent="0.25">
      <c r="A5" s="1"/>
      <c r="B5" s="159"/>
      <c r="C5" s="160"/>
      <c r="D5" s="160"/>
      <c r="E5" s="160"/>
      <c r="F5" s="160"/>
      <c r="G5" s="160"/>
      <c r="H5" s="160"/>
    </row>
    <row r="6" spans="1:8" ht="15.75" thickBot="1" x14ac:dyDescent="0.3">
      <c r="A6" s="1"/>
      <c r="B6" s="1"/>
      <c r="C6" s="1"/>
      <c r="D6" s="1"/>
      <c r="E6" s="1"/>
      <c r="F6" s="1"/>
      <c r="G6" s="79"/>
      <c r="H6" s="1"/>
    </row>
    <row r="7" spans="1:8" ht="15" customHeight="1" x14ac:dyDescent="0.25">
      <c r="A7" s="1"/>
      <c r="B7" s="595" t="s">
        <v>3</v>
      </c>
      <c r="C7" s="596"/>
      <c r="D7" s="599" t="s">
        <v>60</v>
      </c>
      <c r="E7" s="601" t="s">
        <v>61</v>
      </c>
      <c r="F7" s="601" t="s">
        <v>62</v>
      </c>
      <c r="G7" s="603" t="s">
        <v>58</v>
      </c>
      <c r="H7" s="1"/>
    </row>
    <row r="8" spans="1:8" ht="23.25" customHeight="1" x14ac:dyDescent="0.25">
      <c r="A8" s="1"/>
      <c r="B8" s="597"/>
      <c r="C8" s="598"/>
      <c r="D8" s="600"/>
      <c r="E8" s="602"/>
      <c r="F8" s="602"/>
      <c r="G8" s="604"/>
      <c r="H8" s="1"/>
    </row>
    <row r="9" spans="1:8" ht="45" customHeight="1" x14ac:dyDescent="0.25">
      <c r="A9" s="1"/>
      <c r="B9" s="588" t="s">
        <v>63</v>
      </c>
      <c r="C9" s="589"/>
      <c r="D9" s="175">
        <f>[18]Vkupno!$C$12</f>
        <v>86</v>
      </c>
      <c r="E9" s="175">
        <f>[18]Vkupno!$D$12</f>
        <v>9927.3999999999978</v>
      </c>
      <c r="F9" s="175">
        <f>[18]Vkupno!$F$12</f>
        <v>584</v>
      </c>
      <c r="G9" s="176">
        <f>[18]Vkupno!$G$12</f>
        <v>155648.72</v>
      </c>
      <c r="H9" s="1"/>
    </row>
    <row r="10" spans="1:8" ht="45" customHeight="1" x14ac:dyDescent="0.25">
      <c r="A10" s="1"/>
      <c r="B10" s="588" t="s">
        <v>64</v>
      </c>
      <c r="C10" s="589"/>
      <c r="D10" s="175">
        <f>[18]Vkupno!$C$21</f>
        <v>16</v>
      </c>
      <c r="E10" s="175">
        <f>[18]Vkupno!$D$21</f>
        <v>2412.71</v>
      </c>
      <c r="F10" s="175">
        <f>[18]Vkupno!$F$21</f>
        <v>178</v>
      </c>
      <c r="G10" s="176">
        <f>[18]Vkupno!$G$21</f>
        <v>44469.59</v>
      </c>
      <c r="H10" s="1"/>
    </row>
    <row r="11" spans="1:8" ht="38.25" customHeight="1" x14ac:dyDescent="0.25">
      <c r="A11" s="1"/>
      <c r="B11" s="590" t="s">
        <v>3</v>
      </c>
      <c r="C11" s="591"/>
      <c r="D11" s="177">
        <f>D9+D10</f>
        <v>102</v>
      </c>
      <c r="E11" s="178">
        <f>E9+E10</f>
        <v>12340.109999999997</v>
      </c>
      <c r="F11" s="177">
        <f>F9+F10</f>
        <v>762</v>
      </c>
      <c r="G11" s="179">
        <f>G9+G10</f>
        <v>200118.31</v>
      </c>
      <c r="H11" s="1"/>
    </row>
    <row r="12" spans="1:8" ht="53.25" customHeight="1" thickBot="1" x14ac:dyDescent="0.3">
      <c r="A12" s="1"/>
      <c r="B12" s="592" t="s">
        <v>65</v>
      </c>
      <c r="C12" s="593"/>
      <c r="D12" s="175">
        <f>[18]Vkupno!$C$22</f>
        <v>145</v>
      </c>
      <c r="E12" s="175">
        <f>[18]Vkupno!$D$22</f>
        <v>24901.940000000002</v>
      </c>
      <c r="F12" s="175">
        <f>[18]Vkupno!$F$22</f>
        <v>708</v>
      </c>
      <c r="G12" s="176">
        <f>[18]Vkupno!$G$22</f>
        <v>173847.42</v>
      </c>
      <c r="H12" s="1"/>
    </row>
  </sheetData>
  <mergeCells count="10">
    <mergeCell ref="B9:C9"/>
    <mergeCell ref="B10:C10"/>
    <mergeCell ref="B11:C11"/>
    <mergeCell ref="B12:C12"/>
    <mergeCell ref="B4:H4"/>
    <mergeCell ref="B7:C8"/>
    <mergeCell ref="D7:D8"/>
    <mergeCell ref="E7:E8"/>
    <mergeCell ref="F7:F8"/>
    <mergeCell ref="G7:G8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activeCell="D29" sqref="D29"/>
    </sheetView>
  </sheetViews>
  <sheetFormatPr defaultRowHeight="15" x14ac:dyDescent="0.25"/>
  <cols>
    <col min="1" max="1" width="7.42578125" bestFit="1" customWidth="1"/>
    <col min="2" max="2" width="32.5703125" customWidth="1"/>
  </cols>
  <sheetData>
    <row r="1" spans="1:14" ht="15.75" thickBot="1" x14ac:dyDescent="0.3">
      <c r="A1" s="26"/>
      <c r="B1" s="26"/>
      <c r="C1" s="469" t="s">
        <v>121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155" t="s">
        <v>35</v>
      </c>
    </row>
    <row r="2" spans="1:14" ht="15.75" thickBot="1" x14ac:dyDescent="0.3">
      <c r="A2" s="472" t="s">
        <v>0</v>
      </c>
      <c r="B2" s="474" t="s">
        <v>1</v>
      </c>
      <c r="C2" s="494" t="s">
        <v>2</v>
      </c>
      <c r="D2" s="495"/>
      <c r="E2" s="495"/>
      <c r="F2" s="495"/>
      <c r="G2" s="495"/>
      <c r="H2" s="495"/>
      <c r="I2" s="495"/>
      <c r="J2" s="495"/>
      <c r="K2" s="495"/>
      <c r="L2" s="495"/>
      <c r="M2" s="496"/>
      <c r="N2" s="476" t="s">
        <v>3</v>
      </c>
    </row>
    <row r="3" spans="1:14" ht="15.75" thickBot="1" x14ac:dyDescent="0.3">
      <c r="A3" s="473"/>
      <c r="B3" s="490"/>
      <c r="C3" s="354" t="s">
        <v>68</v>
      </c>
      <c r="D3" s="375" t="s">
        <v>4</v>
      </c>
      <c r="E3" s="413" t="s">
        <v>5</v>
      </c>
      <c r="F3" s="344" t="s">
        <v>6</v>
      </c>
      <c r="G3" s="414" t="s">
        <v>8</v>
      </c>
      <c r="H3" s="356" t="s">
        <v>93</v>
      </c>
      <c r="I3" s="413" t="s">
        <v>96</v>
      </c>
      <c r="J3" s="372" t="s">
        <v>37</v>
      </c>
      <c r="K3" s="358" t="s">
        <v>92</v>
      </c>
      <c r="L3" s="344" t="s">
        <v>10</v>
      </c>
      <c r="M3" s="373" t="s">
        <v>95</v>
      </c>
      <c r="N3" s="477"/>
    </row>
    <row r="4" spans="1:14" x14ac:dyDescent="0.25">
      <c r="A4" s="30">
        <v>1</v>
      </c>
      <c r="B4" s="351" t="s">
        <v>11</v>
      </c>
      <c r="C4" s="62">
        <f>[1]STA_SP5_NO!$C$10+[1]STA_SP5_NO!$K$10</f>
        <v>81661.570000000007</v>
      </c>
      <c r="D4" s="368">
        <f>[2]STA_SP5_NO!$C$10+[2]STA_SP5_NO!$K$10</f>
        <v>33929.15</v>
      </c>
      <c r="E4" s="62">
        <f>[3]STA_SP5_NO!$C$10+[3]STA_SP5_NO!$K$10</f>
        <v>12164</v>
      </c>
      <c r="F4" s="54">
        <f>[4]STA_SP5_NO!$C$10+[4]STA_SP5_NO!$K$10</f>
        <v>30693.41</v>
      </c>
      <c r="G4" s="259">
        <f>[5]STA_SP5_NO!$C$10+[5]STA_SP5_NO!$K$10</f>
        <v>65362.96</v>
      </c>
      <c r="H4" s="371">
        <f>[6]STA_SP5_NO!$C$10+[6]STA_SP5_NO!$K$10</f>
        <v>21780.91</v>
      </c>
      <c r="I4" s="62">
        <f>[7]STA_SP5_NO!$C$10+[7]STA_SP5_NO!$K$10</f>
        <v>31474</v>
      </c>
      <c r="J4" s="54">
        <f>[8]STA_SP5_NO!$C$10+[8]STA_SP5_NO!$K$10</f>
        <v>21751</v>
      </c>
      <c r="K4" s="62">
        <f>[9]STA_SP5_NO!$C$10+[9]STA_SP5_NO!$K$10</f>
        <v>39474.71</v>
      </c>
      <c r="L4" s="54">
        <f>[10]STA_SP5_NO!$C$10+[10]STA_SP5_NO!$K$10</f>
        <v>83777</v>
      </c>
      <c r="M4" s="374">
        <f>[11]STA_SP5_NO!$C$10+[11]STA_SP5_NO!$K$10</f>
        <v>182.63</v>
      </c>
      <c r="N4" s="249">
        <f t="shared" ref="N4:N21" si="0">SUM(C4:M4)</f>
        <v>422251.34</v>
      </c>
    </row>
    <row r="5" spans="1:14" x14ac:dyDescent="0.25">
      <c r="A5" s="32">
        <v>2</v>
      </c>
      <c r="B5" s="352" t="s">
        <v>12</v>
      </c>
      <c r="C5" s="62">
        <f>[1]STA_SP5_NO!$C$11+[1]STA_SP5_NO!$K$11</f>
        <v>139689.85999999999</v>
      </c>
      <c r="D5" s="368">
        <f>[2]STA_SP5_NO!$C$11+[2]STA_SP5_NO!$K$11</f>
        <v>140125.14000000001</v>
      </c>
      <c r="E5" s="62">
        <f>[3]STA_SP5_NO!$C$11+[3]STA_SP5_NO!$K$11</f>
        <v>13481</v>
      </c>
      <c r="F5" s="54">
        <f>[4]STA_SP5_NO!$C$11+[4]STA_SP5_NO!$K$11</f>
        <v>71739.399999999994</v>
      </c>
      <c r="G5" s="259">
        <f>[5]STA_SP5_NO!$C$11+[5]STA_SP5_NO!$K$11</f>
        <v>110068.73999999999</v>
      </c>
      <c r="H5" s="371">
        <f>[6]STA_SP5_NO!$C$11+[6]STA_SP5_NO!$K$11</f>
        <v>0</v>
      </c>
      <c r="I5" s="62">
        <f>[7]STA_SP5_NO!$C$11+[7]STA_SP5_NO!$K$11</f>
        <v>78361</v>
      </c>
      <c r="J5" s="54">
        <f>[8]STA_SP5_NO!$C$11+[8]STA_SP5_NO!$K$11</f>
        <v>0</v>
      </c>
      <c r="K5" s="62">
        <f>[9]STA_SP5_NO!$C$11+[9]STA_SP5_NO!$K$11</f>
        <v>113370.9</v>
      </c>
      <c r="L5" s="54">
        <f>[10]STA_SP5_NO!$C$11+[10]STA_SP5_NO!$K$11</f>
        <v>142617</v>
      </c>
      <c r="M5" s="374">
        <f>[11]STA_SP5_NO!$C$11+[11]STA_SP5_NO!$K$11</f>
        <v>0</v>
      </c>
      <c r="N5" s="249">
        <f t="shared" si="0"/>
        <v>809453.04</v>
      </c>
    </row>
    <row r="6" spans="1:14" x14ac:dyDescent="0.25">
      <c r="A6" s="32">
        <v>3</v>
      </c>
      <c r="B6" s="352" t="s">
        <v>13</v>
      </c>
      <c r="C6" s="62">
        <f>[1]STA_SP5_NO!$C$12+[1]STA_SP5_NO!$K$12</f>
        <v>107571.32999999999</v>
      </c>
      <c r="D6" s="368">
        <f>[2]STA_SP5_NO!$C$12+[2]STA_SP5_NO!$K$12</f>
        <v>96999.23</v>
      </c>
      <c r="E6" s="62">
        <f>[3]STA_SP5_NO!$C$12+[3]STA_SP5_NO!$K$12</f>
        <v>43768</v>
      </c>
      <c r="F6" s="54">
        <f>[4]STA_SP5_NO!$C$12+[4]STA_SP5_NO!$K$12</f>
        <v>155073.84</v>
      </c>
      <c r="G6" s="259">
        <f>[5]STA_SP5_NO!$C$12+[5]STA_SP5_NO!$K$12</f>
        <v>79342.600000000006</v>
      </c>
      <c r="H6" s="371">
        <f>[6]STA_SP5_NO!$C$12+[6]STA_SP5_NO!$K$12</f>
        <v>14978.7</v>
      </c>
      <c r="I6" s="62">
        <f>[7]STA_SP5_NO!$C$12+[7]STA_SP5_NO!$K$12</f>
        <v>68982</v>
      </c>
      <c r="J6" s="54">
        <f>[8]STA_SP5_NO!$C$12+[8]STA_SP5_NO!$K$12</f>
        <v>78368.149999999994</v>
      </c>
      <c r="K6" s="62">
        <f>[9]STA_SP5_NO!$C$12+[9]STA_SP5_NO!$K$12</f>
        <v>95457.97</v>
      </c>
      <c r="L6" s="54">
        <f>[10]STA_SP5_NO!$C$12+[10]STA_SP5_NO!$K$12</f>
        <v>82864</v>
      </c>
      <c r="M6" s="374">
        <f>[11]STA_SP5_NO!$C$12+[11]STA_SP5_NO!$K$12</f>
        <v>917.61</v>
      </c>
      <c r="N6" s="249">
        <f t="shared" si="0"/>
        <v>824323.42999999993</v>
      </c>
    </row>
    <row r="7" spans="1:14" x14ac:dyDescent="0.25">
      <c r="A7" s="32">
        <v>4</v>
      </c>
      <c r="B7" s="352" t="s">
        <v>14</v>
      </c>
      <c r="C7" s="62">
        <f>[1]STA_SP5_NO!$C$13+[1]STA_SP5_NO!$K$13</f>
        <v>0</v>
      </c>
      <c r="D7" s="368">
        <f>[2]STA_SP5_NO!$C$13+[2]STA_SP5_NO!$K$13</f>
        <v>0</v>
      </c>
      <c r="E7" s="62">
        <f>[3]STA_SP5_NO!$C$13+[3]STA_SP5_NO!$K$13</f>
        <v>0</v>
      </c>
      <c r="F7" s="54">
        <f>[4]STA_SP5_NO!$C$13+[4]STA_SP5_NO!$K$13</f>
        <v>0</v>
      </c>
      <c r="G7" s="259">
        <f>[5]STA_SP5_NO!$C$13+[5]STA_SP5_NO!$K$13</f>
        <v>0</v>
      </c>
      <c r="H7" s="371">
        <f>[6]STA_SP5_NO!$C$13+[6]STA_SP5_NO!$K$13</f>
        <v>0</v>
      </c>
      <c r="I7" s="62">
        <f>[7]STA_SP5_NO!$C$13+[7]STA_SP5_NO!$K$13</f>
        <v>0</v>
      </c>
      <c r="J7" s="54">
        <f>[8]STA_SP5_NO!$C$13+[8]STA_SP5_NO!$K$13</f>
        <v>0</v>
      </c>
      <c r="K7" s="62">
        <f>[9]STA_SP5_NO!$C$13+[9]STA_SP5_NO!$K$13</f>
        <v>0</v>
      </c>
      <c r="L7" s="54">
        <f>[10]STA_SP5_NO!$C$13+[10]STA_SP5_NO!$K$13</f>
        <v>0</v>
      </c>
      <c r="M7" s="374">
        <f>[11]STA_SP5_NO!$C$13+[11]STA_SP5_NO!$K$13</f>
        <v>0</v>
      </c>
      <c r="N7" s="249">
        <f t="shared" si="0"/>
        <v>0</v>
      </c>
    </row>
    <row r="8" spans="1:14" x14ac:dyDescent="0.25">
      <c r="A8" s="32">
        <v>5</v>
      </c>
      <c r="B8" s="352" t="s">
        <v>15</v>
      </c>
      <c r="C8" s="62">
        <f>[1]STA_SP5_NO!$C$14+[1]STA_SP5_NO!$K$14</f>
        <v>0</v>
      </c>
      <c r="D8" s="368">
        <f>[2]STA_SP5_NO!$C$14+[2]STA_SP5_NO!$K$14</f>
        <v>0</v>
      </c>
      <c r="E8" s="62">
        <f>[3]STA_SP5_NO!$C$14+[3]STA_SP5_NO!$K$14</f>
        <v>0</v>
      </c>
      <c r="F8" s="54">
        <f>[4]STA_SP5_NO!$C$14+[4]STA_SP5_NO!$K$14</f>
        <v>0</v>
      </c>
      <c r="G8" s="259">
        <f>[5]STA_SP5_NO!$C$14+[5]STA_SP5_NO!$K$14</f>
        <v>0</v>
      </c>
      <c r="H8" s="371">
        <f>[6]STA_SP5_NO!$C$14+[6]STA_SP5_NO!$K$14</f>
        <v>0</v>
      </c>
      <c r="I8" s="62">
        <f>[7]STA_SP5_NO!$C$14+[7]STA_SP5_NO!$K$14</f>
        <v>2626</v>
      </c>
      <c r="J8" s="54">
        <f>[8]STA_SP5_NO!$C$14+[8]STA_SP5_NO!$K$14</f>
        <v>488</v>
      </c>
      <c r="K8" s="62">
        <f>[9]STA_SP5_NO!$C$14+[9]STA_SP5_NO!$K$14</f>
        <v>0</v>
      </c>
      <c r="L8" s="54">
        <f>[10]STA_SP5_NO!$C$14+[10]STA_SP5_NO!$K$14</f>
        <v>8925</v>
      </c>
      <c r="M8" s="374">
        <f>[11]STA_SP5_NO!$C$14+[11]STA_SP5_NO!$K$14</f>
        <v>0</v>
      </c>
      <c r="N8" s="249">
        <f t="shared" si="0"/>
        <v>12039</v>
      </c>
    </row>
    <row r="9" spans="1:14" x14ac:dyDescent="0.25">
      <c r="A9" s="32">
        <v>6</v>
      </c>
      <c r="B9" s="352" t="s">
        <v>16</v>
      </c>
      <c r="C9" s="62">
        <f>[1]STA_SP5_NO!$C$15+[1]STA_SP5_NO!$K$15</f>
        <v>64.45</v>
      </c>
      <c r="D9" s="368">
        <f>[2]STA_SP5_NO!$C$15+[2]STA_SP5_NO!$K$15</f>
        <v>47.61</v>
      </c>
      <c r="E9" s="62">
        <f>[3]STA_SP5_NO!$C$15+[3]STA_SP5_NO!$K$15</f>
        <v>50</v>
      </c>
      <c r="F9" s="54">
        <f>[4]STA_SP5_NO!$C$15+[4]STA_SP5_NO!$K$15</f>
        <v>271.32</v>
      </c>
      <c r="G9" s="259">
        <f>[5]STA_SP5_NO!$C$15+[5]STA_SP5_NO!$K$15</f>
        <v>8.2899999999999991</v>
      </c>
      <c r="H9" s="371">
        <f>[6]STA_SP5_NO!$C$15+[6]STA_SP5_NO!$K$15</f>
        <v>0</v>
      </c>
      <c r="I9" s="62">
        <f>[7]STA_SP5_NO!$C$15+[7]STA_SP5_NO!$K$15</f>
        <v>8</v>
      </c>
      <c r="J9" s="54">
        <f>[8]STA_SP5_NO!$C$15+[8]STA_SP5_NO!$K$15</f>
        <v>95</v>
      </c>
      <c r="K9" s="62">
        <f>[9]STA_SP5_NO!$C$15+[9]STA_SP5_NO!$K$15</f>
        <v>153.74</v>
      </c>
      <c r="L9" s="54">
        <f>[10]STA_SP5_NO!$C$15+[10]STA_SP5_NO!$K$15</f>
        <v>0</v>
      </c>
      <c r="M9" s="374">
        <f>[11]STA_SP5_NO!$C$15+[11]STA_SP5_NO!$K$15</f>
        <v>0</v>
      </c>
      <c r="N9" s="249">
        <f t="shared" si="0"/>
        <v>698.41000000000008</v>
      </c>
    </row>
    <row r="10" spans="1:14" x14ac:dyDescent="0.25">
      <c r="A10" s="32">
        <v>7</v>
      </c>
      <c r="B10" s="352" t="s">
        <v>17</v>
      </c>
      <c r="C10" s="62">
        <f>[1]STA_SP5_NO!$C$16+[1]STA_SP5_NO!$K$16</f>
        <v>2927.48</v>
      </c>
      <c r="D10" s="368">
        <f>[2]STA_SP5_NO!$C$16+[2]STA_SP5_NO!$K$16</f>
        <v>7996.64</v>
      </c>
      <c r="E10" s="62">
        <f>[3]STA_SP5_NO!$C$16+[3]STA_SP5_NO!$K$16</f>
        <v>749</v>
      </c>
      <c r="F10" s="54">
        <f>[4]STA_SP5_NO!$C$16+[4]STA_SP5_NO!$K$16</f>
        <v>2196.4299999999998</v>
      </c>
      <c r="G10" s="259">
        <f>[5]STA_SP5_NO!$C$16+[5]STA_SP5_NO!$K$16</f>
        <v>470.86</v>
      </c>
      <c r="H10" s="371">
        <f>[6]STA_SP5_NO!$C$16+[6]STA_SP5_NO!$K$16</f>
        <v>0</v>
      </c>
      <c r="I10" s="62">
        <f>[7]STA_SP5_NO!$C$16+[7]STA_SP5_NO!$K$16</f>
        <v>4138</v>
      </c>
      <c r="J10" s="54">
        <f>[8]STA_SP5_NO!$C$16+[8]STA_SP5_NO!$K$16</f>
        <v>203.36</v>
      </c>
      <c r="K10" s="62">
        <f>[9]STA_SP5_NO!$C$16+[9]STA_SP5_NO!$K$16</f>
        <v>2274.9899999999998</v>
      </c>
      <c r="L10" s="54">
        <f>[10]STA_SP5_NO!$C$16+[10]STA_SP5_NO!$K$16</f>
        <v>2228</v>
      </c>
      <c r="M10" s="374">
        <f>[11]STA_SP5_NO!$C$16+[11]STA_SP5_NO!$K$16</f>
        <v>0</v>
      </c>
      <c r="N10" s="249">
        <f t="shared" si="0"/>
        <v>23184.760000000002</v>
      </c>
    </row>
    <row r="11" spans="1:14" x14ac:dyDescent="0.25">
      <c r="A11" s="32">
        <v>8</v>
      </c>
      <c r="B11" s="352" t="s">
        <v>18</v>
      </c>
      <c r="C11" s="62">
        <f>[1]STA_SP5_NO!$C$17+[1]STA_SP5_NO!$K$17</f>
        <v>125908.5</v>
      </c>
      <c r="D11" s="368">
        <f>[2]STA_SP5_NO!$C$17+[2]STA_SP5_NO!$K$17</f>
        <v>62770.6</v>
      </c>
      <c r="E11" s="62">
        <f>[3]STA_SP5_NO!$C$17+[3]STA_SP5_NO!$K$17</f>
        <v>24404</v>
      </c>
      <c r="F11" s="54">
        <f>[4]STA_SP5_NO!$C$17+[4]STA_SP5_NO!$K$17</f>
        <v>59754.37</v>
      </c>
      <c r="G11" s="259">
        <f>[5]STA_SP5_NO!$C$17+[5]STA_SP5_NO!$K$17</f>
        <v>367366.1</v>
      </c>
      <c r="H11" s="371">
        <f>[6]STA_SP5_NO!$C$17+[6]STA_SP5_NO!$K$17</f>
        <v>2163.23</v>
      </c>
      <c r="I11" s="62">
        <f>[7]STA_SP5_NO!$C$17+[7]STA_SP5_NO!$K$17</f>
        <v>30000</v>
      </c>
      <c r="J11" s="54">
        <f>[8]STA_SP5_NO!$C$17+[8]STA_SP5_NO!$K$17</f>
        <v>35798.58</v>
      </c>
      <c r="K11" s="62">
        <f>[9]STA_SP5_NO!$C$17+[9]STA_SP5_NO!$K$17</f>
        <v>47945.11</v>
      </c>
      <c r="L11" s="54">
        <f>[10]STA_SP5_NO!$C$17+[10]STA_SP5_NO!$K$17</f>
        <v>39388</v>
      </c>
      <c r="M11" s="374">
        <f>[11]STA_SP5_NO!$C$17+[11]STA_SP5_NO!$K$17</f>
        <v>26.619999999999997</v>
      </c>
      <c r="N11" s="249">
        <f t="shared" si="0"/>
        <v>795525.11</v>
      </c>
    </row>
    <row r="12" spans="1:14" x14ac:dyDescent="0.25">
      <c r="A12" s="32">
        <v>9</v>
      </c>
      <c r="B12" s="352" t="s">
        <v>19</v>
      </c>
      <c r="C12" s="62">
        <f>[1]STA_SP5_NO!$C$20+[1]STA_SP5_NO!$K$20</f>
        <v>227122.27</v>
      </c>
      <c r="D12" s="368">
        <f>[2]STA_SP5_NO!$C$20+[2]STA_SP5_NO!$K$20</f>
        <v>88523.08</v>
      </c>
      <c r="E12" s="62">
        <f>[3]STA_SP5_NO!$C$20+[3]STA_SP5_NO!$K$20</f>
        <v>22430</v>
      </c>
      <c r="F12" s="54">
        <f>[4]STA_SP5_NO!$C$20+[4]STA_SP5_NO!$K$20</f>
        <v>108978.43</v>
      </c>
      <c r="G12" s="259">
        <f>[5]STA_SP5_NO!$C$20+[5]STA_SP5_NO!$K$20</f>
        <v>228041.38</v>
      </c>
      <c r="H12" s="371">
        <f>[6]STA_SP5_NO!$C$20+[6]STA_SP5_NO!$K$20</f>
        <v>1095.8699999999999</v>
      </c>
      <c r="I12" s="62">
        <f>[7]STA_SP5_NO!$C$20+[7]STA_SP5_NO!$K$20</f>
        <v>73656</v>
      </c>
      <c r="J12" s="54">
        <f>[8]STA_SP5_NO!$C$20+[8]STA_SP5_NO!$K$20</f>
        <v>15589.64</v>
      </c>
      <c r="K12" s="62">
        <f>[9]STA_SP5_NO!$C$20+[9]STA_SP5_NO!$K$20</f>
        <v>67481.679999999993</v>
      </c>
      <c r="L12" s="54">
        <f>[10]STA_SP5_NO!$C$20+[10]STA_SP5_NO!$K$20</f>
        <v>28336</v>
      </c>
      <c r="M12" s="374">
        <f>[11]STA_SP5_NO!$C$20+[11]STA_SP5_NO!$K$20</f>
        <v>10.07</v>
      </c>
      <c r="N12" s="249">
        <f t="shared" si="0"/>
        <v>861264.41999999981</v>
      </c>
    </row>
    <row r="13" spans="1:14" x14ac:dyDescent="0.25">
      <c r="A13" s="32">
        <v>10</v>
      </c>
      <c r="B13" s="352" t="s">
        <v>20</v>
      </c>
      <c r="C13" s="62">
        <f>[1]STA_SP5_NO!$C$26+[1]STA_SP5_NO!$K$26</f>
        <v>433536.47</v>
      </c>
      <c r="D13" s="368">
        <f>[2]STA_SP5_NO!$C$26+[2]STA_SP5_NO!$K$26</f>
        <v>229387.57</v>
      </c>
      <c r="E13" s="62">
        <f>[3]STA_SP5_NO!$C$26+[3]STA_SP5_NO!$K$26</f>
        <v>147775</v>
      </c>
      <c r="F13" s="54">
        <f>[4]STA_SP5_NO!$C$26+[4]STA_SP5_NO!$K$26</f>
        <v>280102.52</v>
      </c>
      <c r="G13" s="259">
        <f>[5]STA_SP5_NO!$C$26+[5]STA_SP5_NO!$K$26</f>
        <v>237923.05</v>
      </c>
      <c r="H13" s="371">
        <f>[6]STA_SP5_NO!$C$26+[6]STA_SP5_NO!$K$26</f>
        <v>340213.59</v>
      </c>
      <c r="I13" s="62">
        <f>[7]STA_SP5_NO!$C$26+[7]STA_SP5_NO!$K$26</f>
        <v>533883</v>
      </c>
      <c r="J13" s="54">
        <f>[8]STA_SP5_NO!$C$26+[8]STA_SP5_NO!$K$26</f>
        <v>297190</v>
      </c>
      <c r="K13" s="62">
        <f>[9]STA_SP5_NO!$C$26+[9]STA_SP5_NO!$K$26</f>
        <v>198077.44</v>
      </c>
      <c r="L13" s="54">
        <f>[10]STA_SP5_NO!$C$26+[10]STA_SP5_NO!$K$26</f>
        <v>341300</v>
      </c>
      <c r="M13" s="374">
        <f>[11]STA_SP5_NO!$C$26+[11]STA_SP5_NO!$K$26</f>
        <v>7441.54</v>
      </c>
      <c r="N13" s="249">
        <f t="shared" si="0"/>
        <v>3046830.18</v>
      </c>
    </row>
    <row r="14" spans="1:14" x14ac:dyDescent="0.25">
      <c r="A14" s="32">
        <v>11</v>
      </c>
      <c r="B14" s="352" t="s">
        <v>21</v>
      </c>
      <c r="C14" s="62">
        <f>[1]STA_SP5_NO!$C$33+[1]STA_SP5_NO!$K$33</f>
        <v>24.15</v>
      </c>
      <c r="D14" s="368">
        <f>[2]STA_SP5_NO!$C$33+[2]STA_SP5_NO!$K$33</f>
        <v>171.52</v>
      </c>
      <c r="E14" s="62">
        <f>[3]STA_SP5_NO!$C$33+[3]STA_SP5_NO!$K$33</f>
        <v>0</v>
      </c>
      <c r="F14" s="54">
        <f>[4]STA_SP5_NO!$C$33+[4]STA_SP5_NO!$K$33</f>
        <v>0</v>
      </c>
      <c r="G14" s="259">
        <f>[5]STA_SP5_NO!$C$33+[5]STA_SP5_NO!$K$33</f>
        <v>7.78</v>
      </c>
      <c r="H14" s="371">
        <f>[6]STA_SP5_NO!$C$33+[6]STA_SP5_NO!$K$33</f>
        <v>0</v>
      </c>
      <c r="I14" s="62">
        <f>[7]STA_SP5_NO!$C$33+[7]STA_SP5_NO!$K$33</f>
        <v>235</v>
      </c>
      <c r="J14" s="54">
        <f>[8]STA_SP5_NO!$C$33+[8]STA_SP5_NO!$K$33</f>
        <v>1097</v>
      </c>
      <c r="K14" s="62">
        <f>[9]STA_SP5_NO!$C$33+[9]STA_SP5_NO!$K$33</f>
        <v>0</v>
      </c>
      <c r="L14" s="54">
        <f>[10]STA_SP5_NO!$C$33+[10]STA_SP5_NO!$K$33</f>
        <v>1240</v>
      </c>
      <c r="M14" s="374">
        <f>[11]STA_SP5_NO!$C$33+[11]STA_SP5_NO!$K$33</f>
        <v>0</v>
      </c>
      <c r="N14" s="249">
        <f t="shared" si="0"/>
        <v>2775.45</v>
      </c>
    </row>
    <row r="15" spans="1:14" x14ac:dyDescent="0.25">
      <c r="A15" s="32">
        <v>12</v>
      </c>
      <c r="B15" s="352" t="s">
        <v>22</v>
      </c>
      <c r="C15" s="62">
        <f>[1]STA_SP5_NO!$C$34+[1]STA_SP5_NO!$K$34</f>
        <v>243.95</v>
      </c>
      <c r="D15" s="368">
        <f>[2]STA_SP5_NO!$C$34+[2]STA_SP5_NO!$K$34</f>
        <v>94.46</v>
      </c>
      <c r="E15" s="62">
        <f>[3]STA_SP5_NO!$C$34+[3]STA_SP5_NO!$K$34</f>
        <v>26</v>
      </c>
      <c r="F15" s="54">
        <f>[4]STA_SP5_NO!$C$34+[4]STA_SP5_NO!$K$340</f>
        <v>404.99</v>
      </c>
      <c r="G15" s="259">
        <f>[5]STA_SP5_NO!$C$34+[5]STA_SP5_NO!$K$34</f>
        <v>305.08999999999997</v>
      </c>
      <c r="H15" s="371">
        <f>[6]STA_SP5_NO!$C$34+[6]STA_SP5_NO!$K$34</f>
        <v>0</v>
      </c>
      <c r="I15" s="62">
        <f>[7]STA_SP5_NO!$C$34+[7]STA_SP5_NO!$K$34</f>
        <v>279</v>
      </c>
      <c r="J15" s="54">
        <f>[8]STA_SP5_NO!$C$34+[8]STA_SP5_NO!$K$34</f>
        <v>222</v>
      </c>
      <c r="K15" s="62">
        <f>[9]STA_SP5_NO!$C$34+[9]STA_SP5_NO!$K$34</f>
        <v>149.55000000000001</v>
      </c>
      <c r="L15" s="54">
        <f>[10]STA_SP5_NO!$C$34+[10]STA_SP5_NO!$K$34</f>
        <v>76</v>
      </c>
      <c r="M15" s="374">
        <f>[11]STA_SP5_NO!$C$34+[11]STA_SP5_NO!$K$34</f>
        <v>0</v>
      </c>
      <c r="N15" s="249">
        <f t="shared" si="0"/>
        <v>1801.04</v>
      </c>
    </row>
    <row r="16" spans="1:14" x14ac:dyDescent="0.25">
      <c r="A16" s="32">
        <v>13</v>
      </c>
      <c r="B16" s="352" t="s">
        <v>23</v>
      </c>
      <c r="C16" s="62">
        <f>[1]STA_SP5_NO!$C$35+[1]STA_SP5_NO!$K$35</f>
        <v>30660.18</v>
      </c>
      <c r="D16" s="368">
        <f>[2]STA_SP5_NO!$C$35+[2]STA_SP5_NO!$K$35</f>
        <v>24960.27</v>
      </c>
      <c r="E16" s="62">
        <f>[3]STA_SP5_NO!$C$35+[3]STA_SP5_NO!$K$35</f>
        <v>5902</v>
      </c>
      <c r="F16" s="54">
        <f>[4]STA_SP5_NO!$C$35+[4]STA_SP5_NO!$K$35</f>
        <v>12544.52</v>
      </c>
      <c r="G16" s="259">
        <f>[5]STA_SP5_NO!$C$35+[5]STA_SP5_NO!$K$35</f>
        <v>109285.62</v>
      </c>
      <c r="H16" s="371">
        <f>[6]STA_SP5_NO!$C$35+[6]STA_SP5_NO!$K$35</f>
        <v>632.41999999999996</v>
      </c>
      <c r="I16" s="62">
        <f>[7]STA_SP5_NO!$C$35+[7]STA_SP5_NO!$K$35</f>
        <v>25772</v>
      </c>
      <c r="J16" s="54">
        <f>[8]STA_SP5_NO!$C$35+[8]STA_SP5_NO!$K$35</f>
        <v>15640</v>
      </c>
      <c r="K16" s="62">
        <f>[9]STA_SP5_NO!$C$35+[9]STA_SP5_NO!$K$35</f>
        <v>26911.73</v>
      </c>
      <c r="L16" s="54">
        <f>[10]STA_SP5_NO!$C$35+[10]STA_SP5_NO!$K$35</f>
        <v>12411</v>
      </c>
      <c r="M16" s="374">
        <f>[11]STA_SP5_NO!$C$35+[11]STA_SP5_NO!$K$35</f>
        <v>7.5299999999999994</v>
      </c>
      <c r="N16" s="249">
        <f t="shared" si="0"/>
        <v>264727.27</v>
      </c>
    </row>
    <row r="17" spans="1:14" x14ac:dyDescent="0.25">
      <c r="A17" s="32">
        <v>14</v>
      </c>
      <c r="B17" s="352" t="s">
        <v>24</v>
      </c>
      <c r="C17" s="62">
        <f>[1]STA_SP5_NO!$C$36+[1]STA_SP5_NO!$K$36</f>
        <v>25551.25</v>
      </c>
      <c r="D17" s="368">
        <f>[2]STA_SP5_NO!$C$36+[2]STA_SP5_NO!$K$36</f>
        <v>45845.590000000004</v>
      </c>
      <c r="E17" s="62">
        <f>[3]STA_SP5_NO!$C$36+[3]STA_SP5_NO!$K$36</f>
        <v>24</v>
      </c>
      <c r="F17" s="54">
        <f>[4]STA_SP5_NO!$C$36+[4]STA_SP5_NO!$K$36</f>
        <v>756.81</v>
      </c>
      <c r="G17" s="259">
        <f>[5]STA_SP5_NO!$C$36+[5]STA_SP5_NO!$K$36</f>
        <v>0</v>
      </c>
      <c r="H17" s="371">
        <f>[6]STA_SP5_NO!$C$36+[6]STA_SP5_NO!$K$36</f>
        <v>0</v>
      </c>
      <c r="I17" s="62">
        <f>[7]STA_SP5_NO!$C$36+[7]STA_SP5_NO!$K$36</f>
        <v>0</v>
      </c>
      <c r="J17" s="54">
        <f>[8]STA_SP5_NO!$C$36+[8]STA_SP5_NO!$K$36</f>
        <v>0</v>
      </c>
      <c r="K17" s="62">
        <f>[9]STA_SP5_NO!$C$36+[9]STA_SP5_NO!$K$36</f>
        <v>150282</v>
      </c>
      <c r="L17" s="54">
        <f>[10]STA_SP5_NO!$C$36+[10]STA_SP5_NO!$K$36</f>
        <v>10281</v>
      </c>
      <c r="M17" s="374">
        <f>[11]STA_SP5_NO!$C$36+[11]STA_SP5_NO!$K$36</f>
        <v>0</v>
      </c>
      <c r="N17" s="249">
        <f t="shared" si="0"/>
        <v>232740.65</v>
      </c>
    </row>
    <row r="18" spans="1:14" x14ac:dyDescent="0.25">
      <c r="A18" s="32">
        <v>15</v>
      </c>
      <c r="B18" s="352" t="s">
        <v>25</v>
      </c>
      <c r="C18" s="62">
        <f>[1]STA_SP5_NO!$C$37+[1]STA_SP5_NO!$K$37</f>
        <v>0</v>
      </c>
      <c r="D18" s="368">
        <f>[2]STA_SP5_NO!$C$37+[2]STA_SP5_NO!$K$37</f>
        <v>0</v>
      </c>
      <c r="E18" s="62">
        <f>[3]STA_SP5_NO!$C$37+[3]STA_SP5_NO!$K$37</f>
        <v>914</v>
      </c>
      <c r="F18" s="54">
        <f>[4]STA_SP5_NO!$C$37+[4]STA_SP5_NO!$K$37</f>
        <v>3.87</v>
      </c>
      <c r="G18" s="259">
        <f>[5]STA_SP5_NO!$C$37+[5]STA_SP5_NO!$K$37</f>
        <v>171.69</v>
      </c>
      <c r="H18" s="371">
        <f>[6]STA_SP5_NO!$C$37+[6]STA_SP5_NO!$K$37</f>
        <v>0</v>
      </c>
      <c r="I18" s="62">
        <f>[7]STA_SP5_NO!$C$37+[7]STA_SP5_NO!$K$37</f>
        <v>0</v>
      </c>
      <c r="J18" s="54">
        <f>[8]STA_SP5_NO!$C$37+[8]STA_SP5_NO!$K$37</f>
        <v>0</v>
      </c>
      <c r="K18" s="62">
        <f>[9]STA_SP5_NO!$C$37+[9]STA_SP5_NO!$K$37</f>
        <v>77.14</v>
      </c>
      <c r="L18" s="54">
        <f>[10]STA_SP5_NO!$C$37+[10]STA_SP5_NO!$K$37</f>
        <v>0</v>
      </c>
      <c r="M18" s="374">
        <f>[11]STA_SP5_NO!$C$37+[11]STA_SP5_NO!$K$37</f>
        <v>0</v>
      </c>
      <c r="N18" s="249">
        <f t="shared" si="0"/>
        <v>1166.7</v>
      </c>
    </row>
    <row r="19" spans="1:14" x14ac:dyDescent="0.25">
      <c r="A19" s="32">
        <v>16</v>
      </c>
      <c r="B19" s="352" t="s">
        <v>26</v>
      </c>
      <c r="C19" s="62">
        <f>[1]STA_SP5_NO!$C$38+[1]STA_SP5_NO!$K$38</f>
        <v>5449.92</v>
      </c>
      <c r="D19" s="368">
        <f>[2]STA_SP5_NO!$C$38+[2]STA_SP5_NO!$K$38</f>
        <v>22358.46</v>
      </c>
      <c r="E19" s="62">
        <f>[3]STA_SP5_NO!$C$38+[3]STA_SP5_NO!$K$38</f>
        <v>63</v>
      </c>
      <c r="F19" s="54">
        <f>[4]STA_SP5_NO!$C$38+[4]STA_SP5_NO!$K$38</f>
        <v>7224.51</v>
      </c>
      <c r="G19" s="259">
        <f>[5]STA_SP5_NO!$C$38+[5]STA_SP5_NO!$K$38</f>
        <v>249.59</v>
      </c>
      <c r="H19" s="371">
        <f>[6]STA_SP5_NO!$C$38+[6]STA_SP5_NO!$K$38</f>
        <v>0</v>
      </c>
      <c r="I19" s="62">
        <f>[7]STA_SP5_NO!$C$38+[7]STA_SP5_NO!$K$38</f>
        <v>4069</v>
      </c>
      <c r="J19" s="54">
        <f>[8]STA_SP5_NO!$C$38+[8]STA_SP5_NO!$K$38</f>
        <v>0</v>
      </c>
      <c r="K19" s="62">
        <f>[9]STA_SP5_NO!$C$38+[9]STA_SP5_NO!$K$38</f>
        <v>8707.25</v>
      </c>
      <c r="L19" s="54">
        <f>[10]STA_SP5_NO!$C$38+[10]STA_SP5_NO!$K$38</f>
        <v>434</v>
      </c>
      <c r="M19" s="374">
        <f>[11]STA_SP5_NO!$C$38+[11]STA_SP5_NO!$K$38</f>
        <v>0</v>
      </c>
      <c r="N19" s="249">
        <f t="shared" si="0"/>
        <v>48555.729999999996</v>
      </c>
    </row>
    <row r="20" spans="1:14" x14ac:dyDescent="0.25">
      <c r="A20" s="32">
        <v>17</v>
      </c>
      <c r="B20" s="352" t="s">
        <v>27</v>
      </c>
      <c r="C20" s="62">
        <f>[1]STA_SP5_NO!$C$39+[1]STA_SP5_NO!$K$39</f>
        <v>0</v>
      </c>
      <c r="D20" s="368">
        <f>[2]STA_SP5_NO!$C$39+[2]STA_SP5_NO!$K$39</f>
        <v>0</v>
      </c>
      <c r="E20" s="62">
        <f>[3]STA_SP5_NO!$C$39+[3]STA_SP5_NO!$K$39</f>
        <v>0</v>
      </c>
      <c r="F20" s="54">
        <f>[4]STA_SP5_NO!$C$39+[4]STA_SP5_NO!$K$39</f>
        <v>0</v>
      </c>
      <c r="G20" s="259">
        <f>[5]STA_SP5_NO!$C$39+[5]STA_SP5_NO!$K$39</f>
        <v>0</v>
      </c>
      <c r="H20" s="371">
        <f>[6]STA_SP5_NO!$C$39+[6]STA_SP5_NO!$K$39</f>
        <v>0</v>
      </c>
      <c r="I20" s="62">
        <f>[7]STA_SP5_NO!$C$39+[7]STA_SP5_NO!$K$39</f>
        <v>0</v>
      </c>
      <c r="J20" s="54">
        <f>[8]STA_SP5_NO!$C$39+[8]STA_SP5_NO!$K$39</f>
        <v>0</v>
      </c>
      <c r="K20" s="62">
        <f>[9]STA_SP5_NO!$C$39+[9]STA_SP5_NO!$K$39</f>
        <v>0</v>
      </c>
      <c r="L20" s="54">
        <f>[10]STA_SP5_NO!$C$39+[10]STA_SP5_NO!$K$39</f>
        <v>0</v>
      </c>
      <c r="M20" s="374">
        <f>[11]STA_SP5_NO!$C$39+[11]STA_SP5_NO!$K$39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3" t="s">
        <v>28</v>
      </c>
      <c r="C21" s="62">
        <f>[1]STA_SP5_NO!$C$40+[1]STA_SP5_NO!$K$40</f>
        <v>4198.58</v>
      </c>
      <c r="D21" s="368">
        <f>[2]STA_SP5_NO!$C$40+[2]STA_SP5_NO!$K$40</f>
        <v>10158.450000000001</v>
      </c>
      <c r="E21" s="62">
        <f>[3]STA_SP5_NO!$C$40+[3]STA_SP5_NO!$K$40</f>
        <v>2433</v>
      </c>
      <c r="F21" s="54">
        <f>[4]STA_SP5_NO!$C$40+[4]STA_SP5_NO!$K$40</f>
        <v>4983.08</v>
      </c>
      <c r="G21" s="259">
        <f>[5]STA_SP5_NO!$C$40+[5]STA_SP5_NO!$K$40</f>
        <v>13760.25</v>
      </c>
      <c r="H21" s="371">
        <f>[6]STA_SP5_NO!$C$40+[6]STA_SP5_NO!$K$40</f>
        <v>850.42</v>
      </c>
      <c r="I21" s="62">
        <f>[7]STA_SP5_NO!$C$40+[7]STA_SP5_NO!$K$40</f>
        <v>5353</v>
      </c>
      <c r="J21" s="54">
        <f>[8]STA_SP5_NO!$C$40+[8]STA_SP5_NO!$K$40</f>
        <v>5313.2</v>
      </c>
      <c r="K21" s="62">
        <f>[9]STA_SP5_NO!$C$40+[9]STA_SP5_NO!$K$40</f>
        <v>5577.48</v>
      </c>
      <c r="L21" s="54">
        <f>[10]STA_SP5_NO!$C$40+[10]STA_SP5_NO!$K$40</f>
        <v>8641</v>
      </c>
      <c r="M21" s="374">
        <f>[11]STA_SP5_NO!$C$40+[11]STA_SP5_NO!$K$40</f>
        <v>22.310000000000002</v>
      </c>
      <c r="N21" s="249">
        <f t="shared" si="0"/>
        <v>61290.76999999999</v>
      </c>
    </row>
    <row r="22" spans="1:14" ht="15.75" thickBot="1" x14ac:dyDescent="0.3">
      <c r="A22" s="36"/>
      <c r="B22" s="366" t="s">
        <v>29</v>
      </c>
      <c r="C22" s="350">
        <f>SUM(C4:C21)</f>
        <v>1184609.9599999997</v>
      </c>
      <c r="D22" s="360">
        <f>SUM(D4:D21)</f>
        <v>763367.7699999999</v>
      </c>
      <c r="E22" s="350">
        <f t="shared" ref="E22:N22" si="1">SUM(E4:E21)</f>
        <v>274183</v>
      </c>
      <c r="F22" s="362">
        <f t="shared" si="1"/>
        <v>734727.5</v>
      </c>
      <c r="G22" s="376">
        <f t="shared" si="1"/>
        <v>1212364.0000000002</v>
      </c>
      <c r="H22" s="362">
        <f t="shared" si="1"/>
        <v>381715.14</v>
      </c>
      <c r="I22" s="350">
        <f t="shared" si="1"/>
        <v>858836</v>
      </c>
      <c r="J22" s="363">
        <f t="shared" si="1"/>
        <v>471755.93</v>
      </c>
      <c r="K22" s="350">
        <f t="shared" si="1"/>
        <v>755941.69000000006</v>
      </c>
      <c r="L22" s="362">
        <f t="shared" si="1"/>
        <v>762518</v>
      </c>
      <c r="M22" s="364">
        <f t="shared" si="1"/>
        <v>8608.31</v>
      </c>
      <c r="N22" s="250">
        <f t="shared" si="1"/>
        <v>7408627.2999999998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8"/>
      <c r="N23" s="1"/>
    </row>
    <row r="24" spans="1:14" s="421" customFormat="1" ht="23.25" customHeight="1" thickBot="1" x14ac:dyDescent="0.3">
      <c r="A24" s="457" t="s">
        <v>30</v>
      </c>
      <c r="B24" s="605"/>
      <c r="C24" s="417">
        <f>C22/N22</f>
        <v>0.15989601204530829</v>
      </c>
      <c r="D24" s="418">
        <f>D22/N22</f>
        <v>0.1030376801381276</v>
      </c>
      <c r="E24" s="417">
        <f>E22/N22</f>
        <v>3.7008610218521858E-2</v>
      </c>
      <c r="F24" s="418">
        <f>F22/N22</f>
        <v>9.9171880329302034E-2</v>
      </c>
      <c r="G24" s="417">
        <f>G22/N22</f>
        <v>0.16364219050403578</v>
      </c>
      <c r="H24" s="418">
        <f>H22/N22</f>
        <v>5.1523058799300109E-2</v>
      </c>
      <c r="I24" s="417">
        <f>I22/N22</f>
        <v>0.1159237690361344</v>
      </c>
      <c r="J24" s="418">
        <f>J22/N22</f>
        <v>6.3676563943228723E-2</v>
      </c>
      <c r="K24" s="417">
        <f>K22/N22</f>
        <v>0.10203532441158163</v>
      </c>
      <c r="L24" s="418">
        <f>L22/N22</f>
        <v>0.10292298007756444</v>
      </c>
      <c r="M24" s="419">
        <f>M22/N22</f>
        <v>1.1619304968951535E-3</v>
      </c>
      <c r="N24" s="420">
        <f>SUM(C24:M24)</f>
        <v>1</v>
      </c>
    </row>
  </sheetData>
  <mergeCells count="6">
    <mergeCell ref="N2:N3"/>
    <mergeCell ref="A24:B24"/>
    <mergeCell ref="C1:K1"/>
    <mergeCell ref="A2:A3"/>
    <mergeCell ref="B2:B3"/>
    <mergeCell ref="C2:M2"/>
  </mergeCells>
  <pageMargins left="0.25" right="0.25" top="0.75" bottom="0.75" header="0.3" footer="0.3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F35" sqref="F35"/>
    </sheetView>
  </sheetViews>
  <sheetFormatPr defaultRowHeight="15" x14ac:dyDescent="0.25"/>
  <cols>
    <col min="1" max="1" width="4" customWidth="1"/>
    <col min="2" max="2" width="28.42578125" customWidth="1"/>
    <col min="3" max="3" width="11" bestFit="1" customWidth="1"/>
    <col min="4" max="4" width="9.85546875" bestFit="1" customWidth="1"/>
    <col min="6" max="6" width="9.140625" customWidth="1"/>
    <col min="8" max="8" width="9.85546875" bestFit="1" customWidth="1"/>
  </cols>
  <sheetData>
    <row r="1" spans="1:14" ht="31.5" customHeight="1" thickBot="1" x14ac:dyDescent="0.3">
      <c r="A1" s="120"/>
      <c r="B1" s="120"/>
      <c r="C1" s="469" t="s">
        <v>99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155" t="s">
        <v>35</v>
      </c>
    </row>
    <row r="2" spans="1:14" ht="15.75" thickBot="1" x14ac:dyDescent="0.3">
      <c r="A2" s="472" t="s">
        <v>0</v>
      </c>
      <c r="B2" s="474" t="s">
        <v>1</v>
      </c>
      <c r="C2" s="478" t="s">
        <v>2</v>
      </c>
      <c r="D2" s="479"/>
      <c r="E2" s="479"/>
      <c r="F2" s="479"/>
      <c r="G2" s="479"/>
      <c r="H2" s="479"/>
      <c r="I2" s="479"/>
      <c r="J2" s="479"/>
      <c r="K2" s="479"/>
      <c r="L2" s="479"/>
      <c r="M2" s="480"/>
      <c r="N2" s="476" t="s">
        <v>3</v>
      </c>
    </row>
    <row r="3" spans="1:14" ht="15.75" thickBot="1" x14ac:dyDescent="0.3">
      <c r="A3" s="473"/>
      <c r="B3" s="475"/>
      <c r="C3" s="21" t="s">
        <v>68</v>
      </c>
      <c r="D3" s="27" t="s">
        <v>4</v>
      </c>
      <c r="E3" s="335" t="s">
        <v>5</v>
      </c>
      <c r="F3" s="27" t="s">
        <v>6</v>
      </c>
      <c r="G3" s="28" t="s">
        <v>8</v>
      </c>
      <c r="H3" s="167" t="s">
        <v>93</v>
      </c>
      <c r="I3" s="28" t="s">
        <v>96</v>
      </c>
      <c r="J3" s="337" t="s">
        <v>9</v>
      </c>
      <c r="K3" s="349" t="s">
        <v>92</v>
      </c>
      <c r="L3" s="339" t="s">
        <v>10</v>
      </c>
      <c r="M3" s="340" t="s">
        <v>95</v>
      </c>
      <c r="N3" s="477"/>
    </row>
    <row r="4" spans="1:14" ht="15.75" thickBot="1" x14ac:dyDescent="0.3">
      <c r="A4" s="30">
        <v>1</v>
      </c>
      <c r="B4" s="31" t="s">
        <v>11</v>
      </c>
      <c r="C4" s="143">
        <f>[1]STA_SP1_NO!$G$10</f>
        <v>12954.55</v>
      </c>
      <c r="D4" s="118">
        <f>[2]STA_SP1_NO!$G$10</f>
        <v>9410.2999999999993</v>
      </c>
      <c r="E4" s="143">
        <f>[3]STA_SP1_NO!$G$10</f>
        <v>2518</v>
      </c>
      <c r="F4" s="118">
        <f>[4]STA_SP1_NO!$G$10</f>
        <v>5497.64</v>
      </c>
      <c r="G4" s="61">
        <f>[5]STA_SP1_NO!$G$10</f>
        <v>19234.84</v>
      </c>
      <c r="H4" s="144">
        <f>[6]STA_SP1_NO!$G$10</f>
        <v>2215.4499999999998</v>
      </c>
      <c r="I4" s="61">
        <f>[7]STA_SP1_NO!$G$10</f>
        <v>5474</v>
      </c>
      <c r="J4" s="68">
        <f>[8]STA_SP1_NO!$G$10</f>
        <v>5108</v>
      </c>
      <c r="K4" s="117">
        <f>[9]STA_SP1_NO!$G$10</f>
        <v>10654.54</v>
      </c>
      <c r="L4" s="68">
        <f>[10]STA_SP1_NO!$G$10</f>
        <v>15234</v>
      </c>
      <c r="M4" s="332">
        <f>[11]STA_SP1_NO!$G$10</f>
        <v>55</v>
      </c>
      <c r="N4" s="249">
        <f t="shared" ref="N4:N21" si="0">SUM(C4:M4)</f>
        <v>88356.32</v>
      </c>
    </row>
    <row r="5" spans="1:14" ht="15.75" thickBot="1" x14ac:dyDescent="0.3">
      <c r="A5" s="32">
        <v>2</v>
      </c>
      <c r="B5" s="33" t="s">
        <v>12</v>
      </c>
      <c r="C5" s="143">
        <f>[1]STA_SP1_NO!$G$20</f>
        <v>43142.39</v>
      </c>
      <c r="D5" s="118">
        <f>[2]STA_SP1_NO!$G$20</f>
        <v>42065.63</v>
      </c>
      <c r="E5" s="143">
        <f>[3]STA_SP1_NO!$G$20</f>
        <v>2744</v>
      </c>
      <c r="F5" s="118">
        <f>[4]STA_SP1_NO!$G$20</f>
        <v>23892.32</v>
      </c>
      <c r="G5" s="61">
        <f>[5]STA_SP1_NO!$G$20</f>
        <v>35098.68</v>
      </c>
      <c r="H5" s="144">
        <f>[6]STA_SP1_NO!$G$20</f>
        <v>0</v>
      </c>
      <c r="I5" s="61">
        <f>[7]STA_SP1_NO!$G$20</f>
        <v>24426</v>
      </c>
      <c r="J5" s="68">
        <f>[8]STA_SP1_NO!$G$20</f>
        <v>0</v>
      </c>
      <c r="K5" s="117">
        <f>[9]STA_SP1_NO!$G$20</f>
        <v>19616.060000000001</v>
      </c>
      <c r="L5" s="68">
        <f>[10]STA_SP1_NO!$G$20</f>
        <v>45750</v>
      </c>
      <c r="M5" s="332">
        <f>[11]STA_SP1_NO!$G$20</f>
        <v>0</v>
      </c>
      <c r="N5" s="249">
        <f t="shared" si="0"/>
        <v>236735.08</v>
      </c>
    </row>
    <row r="6" spans="1:14" ht="15.75" thickBot="1" x14ac:dyDescent="0.3">
      <c r="A6" s="32">
        <v>3</v>
      </c>
      <c r="B6" s="33" t="s">
        <v>13</v>
      </c>
      <c r="C6" s="143">
        <f>[1]STA_SP1_NO!$G$24</f>
        <v>24604.19</v>
      </c>
      <c r="D6" s="118">
        <f>[2]STA_SP1_NO!$G$24</f>
        <v>16274.31</v>
      </c>
      <c r="E6" s="143">
        <f>[3]STA_SP1_NO!$G$24</f>
        <v>10583</v>
      </c>
      <c r="F6" s="118">
        <f>[4]STA_SP1_NO!$G$24</f>
        <v>37760.730000000003</v>
      </c>
      <c r="G6" s="61">
        <f>[5]STA_SP1_NO!$G$24</f>
        <v>17117.39</v>
      </c>
      <c r="H6" s="144">
        <f>[6]STA_SP1_NO!$G$24</f>
        <v>2564.64</v>
      </c>
      <c r="I6" s="61">
        <f>[7]STA_SP1_NO!$G$24</f>
        <v>15030</v>
      </c>
      <c r="J6" s="68">
        <f>[8]STA_SP1_NO!$G$24</f>
        <v>14967</v>
      </c>
      <c r="K6" s="117">
        <f>[9]STA_SP1_NO!$G$24</f>
        <v>16194.42</v>
      </c>
      <c r="L6" s="68">
        <f>[10]STA_SP1_NO!$G$24</f>
        <v>19757</v>
      </c>
      <c r="M6" s="332">
        <f>[11]STA_SP1_NO!$G$24</f>
        <v>1722.41</v>
      </c>
      <c r="N6" s="249">
        <f t="shared" si="0"/>
        <v>176575.09000000003</v>
      </c>
    </row>
    <row r="7" spans="1:14" ht="15.75" thickBot="1" x14ac:dyDescent="0.3">
      <c r="A7" s="32">
        <v>4</v>
      </c>
      <c r="B7" s="33" t="s">
        <v>14</v>
      </c>
      <c r="C7" s="143">
        <f>[1]STA_SP1_NO!$G$27</f>
        <v>0</v>
      </c>
      <c r="D7" s="118">
        <f>[2]STA_SP1_NO!$G$27</f>
        <v>0</v>
      </c>
      <c r="E7" s="143">
        <f>[3]STA_SP1_NO!$G$27</f>
        <v>0</v>
      </c>
      <c r="F7" s="118">
        <f>[4]STA_SP1_NO!$G$27</f>
        <v>0</v>
      </c>
      <c r="G7" s="61">
        <f>[5]STA_SP1_NO!$G$27</f>
        <v>0</v>
      </c>
      <c r="H7" s="144">
        <f>[6]STA_SP1_NO!$G$27</f>
        <v>0</v>
      </c>
      <c r="I7" s="61">
        <f>[7]STA_SP1_NO!$G$27</f>
        <v>0</v>
      </c>
      <c r="J7" s="68">
        <f>[8]STA_SP1_NO!$G$27</f>
        <v>0</v>
      </c>
      <c r="K7" s="117">
        <f>[9]STA_SP1_NO!$G$27</f>
        <v>0</v>
      </c>
      <c r="L7" s="68">
        <f>[10]STA_SP1_NO!$G$27</f>
        <v>0</v>
      </c>
      <c r="M7" s="332">
        <f>[11]STA_SP1_NO!$G$27</f>
        <v>0</v>
      </c>
      <c r="N7" s="249">
        <f t="shared" si="0"/>
        <v>0</v>
      </c>
    </row>
    <row r="8" spans="1:14" ht="15.75" thickBot="1" x14ac:dyDescent="0.3">
      <c r="A8" s="32">
        <v>5</v>
      </c>
      <c r="B8" s="33" t="s">
        <v>15</v>
      </c>
      <c r="C8" s="143">
        <f>[1]STA_SP1_NO!$G$30</f>
        <v>0</v>
      </c>
      <c r="D8" s="118">
        <f>[2]STA_SP1_NO!$G$30</f>
        <v>33.130000000000003</v>
      </c>
      <c r="E8" s="143">
        <f>[3]STA_SP1_NO!$G$30</f>
        <v>0</v>
      </c>
      <c r="F8" s="118">
        <f>[4]STA_SP1_NO!$G$30</f>
        <v>0</v>
      </c>
      <c r="G8" s="61">
        <f>[5]STA_SP1_NO!$G$30</f>
        <v>0</v>
      </c>
      <c r="H8" s="144">
        <f>[6]STA_SP1_NO!$G$30</f>
        <v>0</v>
      </c>
      <c r="I8" s="61">
        <f>[7]STA_SP1_NO!$G$30</f>
        <v>0</v>
      </c>
      <c r="J8" s="68">
        <f>[8]STA_SP1_NO!$G$30</f>
        <v>0</v>
      </c>
      <c r="K8" s="117">
        <f>[9]STA_SP1_NO!$G$30</f>
        <v>0</v>
      </c>
      <c r="L8" s="68">
        <f>[10]STA_SP1_NO!$G$30</f>
        <v>0</v>
      </c>
      <c r="M8" s="332">
        <f>[11]STA_SP1_NO!$G$30</f>
        <v>0</v>
      </c>
      <c r="N8" s="249">
        <f t="shared" si="0"/>
        <v>33.130000000000003</v>
      </c>
    </row>
    <row r="9" spans="1:14" ht="15.75" thickBot="1" x14ac:dyDescent="0.3">
      <c r="A9" s="32">
        <v>6</v>
      </c>
      <c r="B9" s="33" t="s">
        <v>16</v>
      </c>
      <c r="C9" s="143">
        <f>[1]STA_SP1_NO!$G$33</f>
        <v>0</v>
      </c>
      <c r="D9" s="118">
        <f>[2]STA_SP1_NO!$G$33</f>
        <v>0</v>
      </c>
      <c r="E9" s="143">
        <f>[3]STA_SP1_NO!$G$33</f>
        <v>0</v>
      </c>
      <c r="F9" s="118">
        <f>[4]STA_SP1_NO!$G$33</f>
        <v>7.64</v>
      </c>
      <c r="G9" s="61">
        <f>[5]STA_SP1_NO!$G$33</f>
        <v>0</v>
      </c>
      <c r="H9" s="144">
        <f>[6]STA_SP1_NO!$G$33</f>
        <v>0</v>
      </c>
      <c r="I9" s="61">
        <f>[7]STA_SP1_NO!$G$33</f>
        <v>0</v>
      </c>
      <c r="J9" s="68">
        <f>[8]STA_SP1_NO!$G$33</f>
        <v>0</v>
      </c>
      <c r="K9" s="117">
        <f>[9]STA_SP1_NO!$G$33</f>
        <v>0</v>
      </c>
      <c r="L9" s="68">
        <f>[10]STA_SP1_NO!$G$33</f>
        <v>0</v>
      </c>
      <c r="M9" s="332">
        <f>[11]STA_SP1_NO!$G$33</f>
        <v>0</v>
      </c>
      <c r="N9" s="249">
        <f t="shared" si="0"/>
        <v>7.64</v>
      </c>
    </row>
    <row r="10" spans="1:14" ht="15.75" thickBot="1" x14ac:dyDescent="0.3">
      <c r="A10" s="32">
        <v>7</v>
      </c>
      <c r="B10" s="33" t="s">
        <v>17</v>
      </c>
      <c r="C10" s="143">
        <f>[1]STA_SP1_NO!$G$36</f>
        <v>0</v>
      </c>
      <c r="D10" s="118">
        <f>[2]STA_SP1_NO!$G$36</f>
        <v>92.33</v>
      </c>
      <c r="E10" s="143">
        <f>[3]STA_SP1_NO!$G$36</f>
        <v>111</v>
      </c>
      <c r="F10" s="118">
        <f>[4]STA_SP1_NO!$G$36</f>
        <v>0</v>
      </c>
      <c r="G10" s="61">
        <f>[5]STA_SP1_NO!$G$36</f>
        <v>0</v>
      </c>
      <c r="H10" s="144">
        <f>[6]STA_SP1_NO!$G$36</f>
        <v>0</v>
      </c>
      <c r="I10" s="61">
        <f>[7]STA_SP1_NO!$G$36</f>
        <v>37</v>
      </c>
      <c r="J10" s="68">
        <f>[8]STA_SP1_NO!$G$36</f>
        <v>93</v>
      </c>
      <c r="K10" s="117">
        <f>[9]STA_SP1_NO!$G$36</f>
        <v>2.0099999999999998</v>
      </c>
      <c r="L10" s="68">
        <f>[10]STA_SP1_NO!$G$36</f>
        <v>0</v>
      </c>
      <c r="M10" s="332">
        <f>[11]STA_SP1_NO!$G$36</f>
        <v>0</v>
      </c>
      <c r="N10" s="249">
        <f t="shared" si="0"/>
        <v>335.34</v>
      </c>
    </row>
    <row r="11" spans="1:14" ht="15.75" thickBot="1" x14ac:dyDescent="0.3">
      <c r="A11" s="32">
        <v>8</v>
      </c>
      <c r="B11" s="33" t="s">
        <v>18</v>
      </c>
      <c r="C11" s="143">
        <f>[1]STA_SP1_NO!$G$40</f>
        <v>22960.25</v>
      </c>
      <c r="D11" s="118">
        <f>[2]STA_SP1_NO!$G$40</f>
        <v>1916.2</v>
      </c>
      <c r="E11" s="143">
        <f>[3]STA_SP1_NO!$G$40</f>
        <v>83</v>
      </c>
      <c r="F11" s="118">
        <f>[4]STA_SP1_NO!$G$40</f>
        <v>24808.71</v>
      </c>
      <c r="G11" s="61">
        <f>[5]STA_SP1_NO!$G$40</f>
        <v>3145.6</v>
      </c>
      <c r="H11" s="144">
        <f>[6]STA_SP1_NO!$G$40</f>
        <v>25.96</v>
      </c>
      <c r="I11" s="61">
        <f>[7]STA_SP1_NO!$G$40</f>
        <v>201</v>
      </c>
      <c r="J11" s="68">
        <f>[8]STA_SP1_NO!$G$40</f>
        <v>991</v>
      </c>
      <c r="K11" s="117">
        <f>[9]STA_SP1_NO!$G$40</f>
        <v>401.89</v>
      </c>
      <c r="L11" s="68">
        <f>[10]STA_SP1_NO!$G$40</f>
        <v>680</v>
      </c>
      <c r="M11" s="332">
        <f>[11]STA_SP1_NO!$G$40</f>
        <v>0</v>
      </c>
      <c r="N11" s="249">
        <f t="shared" si="0"/>
        <v>55213.61</v>
      </c>
    </row>
    <row r="12" spans="1:14" ht="15.75" thickBot="1" x14ac:dyDescent="0.3">
      <c r="A12" s="32">
        <v>9</v>
      </c>
      <c r="B12" s="33" t="s">
        <v>19</v>
      </c>
      <c r="C12" s="143">
        <f>[1]STA_SP1_NO!$G$56</f>
        <v>30271.11</v>
      </c>
      <c r="D12" s="118">
        <f>[2]STA_SP1_NO!$G$56</f>
        <v>8709.85</v>
      </c>
      <c r="E12" s="143">
        <f>[3]STA_SP1_NO!$G$56</f>
        <v>1654</v>
      </c>
      <c r="F12" s="118">
        <f>[4]STA_SP1_NO!$G$56</f>
        <v>17406.73</v>
      </c>
      <c r="G12" s="61">
        <f>[5]STA_SP1_NO!$G$56</f>
        <v>626.76</v>
      </c>
      <c r="H12" s="144">
        <f>[6]STA_SP1_NO!$G$56</f>
        <v>10.56</v>
      </c>
      <c r="I12" s="61">
        <f>[7]STA_SP1_NO!$G$56</f>
        <v>1518</v>
      </c>
      <c r="J12" s="68">
        <f>[8]STA_SP1_NO!$G$56</f>
        <v>245</v>
      </c>
      <c r="K12" s="117">
        <f>[9]STA_SP1_NO!$G$56</f>
        <v>773.3</v>
      </c>
      <c r="L12" s="68">
        <f>[10]STA_SP1_NO!$G$56</f>
        <v>4843</v>
      </c>
      <c r="M12" s="332">
        <f>[11]STA_SP1_NO!$G$56</f>
        <v>0</v>
      </c>
      <c r="N12" s="249">
        <f t="shared" si="0"/>
        <v>66058.31</v>
      </c>
    </row>
    <row r="13" spans="1:14" ht="15.75" thickBot="1" x14ac:dyDescent="0.3">
      <c r="A13" s="32">
        <v>10</v>
      </c>
      <c r="B13" s="33" t="s">
        <v>20</v>
      </c>
      <c r="C13" s="143">
        <f>[1]STA_SP1_NO!$G$88</f>
        <v>88415.7</v>
      </c>
      <c r="D13" s="118">
        <f>[2]STA_SP1_NO!$G$88</f>
        <v>49705.2</v>
      </c>
      <c r="E13" s="143">
        <f>[3]STA_SP1_NO!$G$88</f>
        <v>31168</v>
      </c>
      <c r="F13" s="118">
        <f>[4]STA_SP1_NO!$G$88</f>
        <v>58678.61</v>
      </c>
      <c r="G13" s="61">
        <f>[5]STA_SP1_NO!$G$88</f>
        <v>41181.65</v>
      </c>
      <c r="H13" s="144">
        <f>[6]STA_SP1_NO!$G$88</f>
        <v>60592.52</v>
      </c>
      <c r="I13" s="61">
        <f>[7]STA_SP1_NO!$G$88</f>
        <v>108565</v>
      </c>
      <c r="J13" s="68">
        <f>[8]STA_SP1_NO!$G$88</f>
        <v>42962.400000000001</v>
      </c>
      <c r="K13" s="117">
        <f>[9]STA_SP1_NO!$G$88</f>
        <v>49126.18</v>
      </c>
      <c r="L13" s="68">
        <f>[10]STA_SP1_NO!$G$88</f>
        <v>65878</v>
      </c>
      <c r="M13" s="332">
        <f>[11]STA_SP1_NO!$G$88</f>
        <v>4597.55</v>
      </c>
      <c r="N13" s="249">
        <f t="shared" si="0"/>
        <v>600870.81000000017</v>
      </c>
    </row>
    <row r="14" spans="1:14" ht="15.75" thickBot="1" x14ac:dyDescent="0.3">
      <c r="A14" s="32">
        <v>11</v>
      </c>
      <c r="B14" s="33" t="s">
        <v>21</v>
      </c>
      <c r="C14" s="143">
        <f>[1]STA_SP1_NO!$G$124</f>
        <v>0</v>
      </c>
      <c r="D14" s="118">
        <f>[2]STA_SP1_NO!$G$124</f>
        <v>0</v>
      </c>
      <c r="E14" s="143">
        <f>[3]STA_SP1_NO!$G$124</f>
        <v>0</v>
      </c>
      <c r="F14" s="118">
        <f>[4]STA_SP1_NO!$G$124</f>
        <v>0</v>
      </c>
      <c r="G14" s="61">
        <f>[5]STA_SP1_NO!$G$124</f>
        <v>0</v>
      </c>
      <c r="H14" s="144">
        <f>[6]STA_SP1_NO!$G$124</f>
        <v>0</v>
      </c>
      <c r="I14" s="61">
        <f>[7]STA_SP1_NO!$G$124</f>
        <v>0</v>
      </c>
      <c r="J14" s="68">
        <f>[8]STA_SP1_NO!$G$124</f>
        <v>0</v>
      </c>
      <c r="K14" s="117">
        <f>[9]STA_SP1_NO!$G$124</f>
        <v>0</v>
      </c>
      <c r="L14" s="68">
        <f>[10]STA_SP1_NO!$G$124</f>
        <v>0</v>
      </c>
      <c r="M14" s="332">
        <f>[11]STA_SP1_NO!$G$124</f>
        <v>0</v>
      </c>
      <c r="N14" s="249">
        <f t="shared" si="0"/>
        <v>0</v>
      </c>
    </row>
    <row r="15" spans="1:14" ht="15.75" thickBot="1" x14ac:dyDescent="0.3">
      <c r="A15" s="32">
        <v>12</v>
      </c>
      <c r="B15" s="33" t="s">
        <v>22</v>
      </c>
      <c r="C15" s="143">
        <f>[1]STA_SP1_NO!$G$128</f>
        <v>0</v>
      </c>
      <c r="D15" s="118">
        <f>[2]STA_SP1_NO!$G$128</f>
        <v>0</v>
      </c>
      <c r="E15" s="143">
        <f>[3]STA_SP1_NO!$G$128</f>
        <v>0</v>
      </c>
      <c r="F15" s="118">
        <f>[4]STA_SP1_NO!$G$128</f>
        <v>0</v>
      </c>
      <c r="G15" s="61">
        <f>[5]STA_SP1_NO!$G$128</f>
        <v>0</v>
      </c>
      <c r="H15" s="144">
        <f>[6]STA_SP1_NO!$G$128</f>
        <v>0</v>
      </c>
      <c r="I15" s="61">
        <f>[7]STA_SP1_NO!$G$128</f>
        <v>0</v>
      </c>
      <c r="J15" s="68">
        <f>[8]STA_SP1_NO!$G$128</f>
        <v>0</v>
      </c>
      <c r="K15" s="117">
        <f>[9]STA_SP1_NO!$G$128</f>
        <v>0</v>
      </c>
      <c r="L15" s="68">
        <f>[10]STA_SP1_NO!$G$128</f>
        <v>0</v>
      </c>
      <c r="M15" s="332">
        <f>[11]STA_SP1_NO!$G$128</f>
        <v>0</v>
      </c>
      <c r="N15" s="249">
        <f t="shared" si="0"/>
        <v>0</v>
      </c>
    </row>
    <row r="16" spans="1:14" ht="15.75" thickBot="1" x14ac:dyDescent="0.3">
      <c r="A16" s="32">
        <v>13</v>
      </c>
      <c r="B16" s="33" t="s">
        <v>23</v>
      </c>
      <c r="C16" s="143">
        <f>[1]STA_SP1_NO!$G$132</f>
        <v>2233.7199999999998</v>
      </c>
      <c r="D16" s="118">
        <f>[2]STA_SP1_NO!$G$132</f>
        <v>4.5</v>
      </c>
      <c r="E16" s="143">
        <f>[3]STA_SP1_NO!$G$132</f>
        <v>180</v>
      </c>
      <c r="F16" s="118">
        <f>[4]STA_SP1_NO!$G$132</f>
        <v>615.75</v>
      </c>
      <c r="G16" s="61">
        <f>[5]STA_SP1_NO!$G$132</f>
        <v>338.74</v>
      </c>
      <c r="H16" s="144">
        <f>[6]STA_SP1_NO!$G$132</f>
        <v>0</v>
      </c>
      <c r="I16" s="61">
        <f>[7]STA_SP1_NO!$G$132</f>
        <v>100</v>
      </c>
      <c r="J16" s="68">
        <f>[8]STA_SP1_NO!$G$132</f>
        <v>223</v>
      </c>
      <c r="K16" s="117">
        <f>[9]STA_SP1_NO!$G$132</f>
        <v>3.08</v>
      </c>
      <c r="L16" s="68">
        <f>[10]STA_SP1_NO!$G$132</f>
        <v>735</v>
      </c>
      <c r="M16" s="332">
        <f>[11]STA_SP1_NO!$G$132</f>
        <v>0</v>
      </c>
      <c r="N16" s="249">
        <f t="shared" si="0"/>
        <v>4433.79</v>
      </c>
    </row>
    <row r="17" spans="1:14" ht="15.75" thickBot="1" x14ac:dyDescent="0.3">
      <c r="A17" s="32">
        <v>14</v>
      </c>
      <c r="B17" s="33" t="s">
        <v>24</v>
      </c>
      <c r="C17" s="143">
        <f>[1]STA_SP1_NO!$G$153</f>
        <v>22.36</v>
      </c>
      <c r="D17" s="118">
        <f>[2]STA_SP1_NO!$G$153</f>
        <v>215.13</v>
      </c>
      <c r="E17" s="143">
        <f>[3]STA_SP1_NO!$G$153</f>
        <v>0</v>
      </c>
      <c r="F17" s="118">
        <f>[4]STA_SP1_NO!$G$153</f>
        <v>0</v>
      </c>
      <c r="G17" s="61">
        <f>[5]STA_SP1_NO!$G$153</f>
        <v>0</v>
      </c>
      <c r="H17" s="144">
        <f>[6]STA_SP1_NO!$G$153</f>
        <v>0</v>
      </c>
      <c r="I17" s="61">
        <f>[7]STA_SP1_NO!$G$153</f>
        <v>0</v>
      </c>
      <c r="J17" s="68">
        <f>[8]STA_SP1_NO!$G$153</f>
        <v>0</v>
      </c>
      <c r="K17" s="117">
        <f>[9]STA_SP1_NO!$G$153</f>
        <v>69.45</v>
      </c>
      <c r="L17" s="68">
        <f>[10]STA_SP1_NO!$G$153</f>
        <v>1</v>
      </c>
      <c r="M17" s="332">
        <f>[11]STA_SP1_NO!$G$153</f>
        <v>0</v>
      </c>
      <c r="N17" s="249">
        <f t="shared" si="0"/>
        <v>307.94</v>
      </c>
    </row>
    <row r="18" spans="1:14" ht="15.75" thickBot="1" x14ac:dyDescent="0.3">
      <c r="A18" s="32">
        <v>15</v>
      </c>
      <c r="B18" s="33" t="s">
        <v>25</v>
      </c>
      <c r="C18" s="143">
        <f>[1]STA_SP1_NO!$G$158</f>
        <v>0</v>
      </c>
      <c r="D18" s="118">
        <f>[2]STA_SP1_NO!$G$158</f>
        <v>0</v>
      </c>
      <c r="E18" s="143">
        <f>[3]STA_SP1_NO!$G$158</f>
        <v>0</v>
      </c>
      <c r="F18" s="118">
        <f>[4]STA_SP1_NO!$G$158</f>
        <v>0</v>
      </c>
      <c r="G18" s="61">
        <f>[5]STA_SP1_NO!$G$158</f>
        <v>0</v>
      </c>
      <c r="H18" s="144">
        <f>[6]STA_SP1_NO!$G$158</f>
        <v>0</v>
      </c>
      <c r="I18" s="61">
        <f>[7]STA_SP1_NO!$G$158</f>
        <v>0</v>
      </c>
      <c r="J18" s="68">
        <f>[8]STA_SP1_NO!$G$158</f>
        <v>0</v>
      </c>
      <c r="K18" s="117">
        <f>[9]STA_SP1_NO!$G$158</f>
        <v>0</v>
      </c>
      <c r="L18" s="68">
        <f>[10]STA_SP1_NO!$G$158</f>
        <v>0</v>
      </c>
      <c r="M18" s="332">
        <f>[11]STA_SP1_NO!$G$158</f>
        <v>0</v>
      </c>
      <c r="N18" s="249">
        <f t="shared" si="0"/>
        <v>0</v>
      </c>
    </row>
    <row r="19" spans="1:14" ht="15.75" thickBot="1" x14ac:dyDescent="0.3">
      <c r="A19" s="32">
        <v>16</v>
      </c>
      <c r="B19" s="33" t="s">
        <v>26</v>
      </c>
      <c r="C19" s="143">
        <f>[1]STA_SP1_NO!$G$161</f>
        <v>481.07</v>
      </c>
      <c r="D19" s="118">
        <f>[2]STA_SP1_NO!$G$161</f>
        <v>0</v>
      </c>
      <c r="E19" s="143">
        <f>[3]STA_SP1_NO!$G$161</f>
        <v>0</v>
      </c>
      <c r="F19" s="118">
        <f>[4]STA_SP1_NO!$G$161</f>
        <v>1586.94</v>
      </c>
      <c r="G19" s="61">
        <f>[5]STA_SP1_NO!$G$161</f>
        <v>0</v>
      </c>
      <c r="H19" s="144">
        <f>[6]STA_SP1_NO!$G$161</f>
        <v>0</v>
      </c>
      <c r="I19" s="61">
        <f>[7]STA_SP1_NO!$G$161</f>
        <v>1923</v>
      </c>
      <c r="J19" s="68">
        <f>[8]STA_SP1_NO!$G$161</f>
        <v>0</v>
      </c>
      <c r="K19" s="117">
        <f>[9]STA_SP1_NO!$G$161</f>
        <v>0</v>
      </c>
      <c r="L19" s="68">
        <f>[10]STA_SP1_NO!$G$161</f>
        <v>0</v>
      </c>
      <c r="M19" s="332">
        <f>[11]STA_SP1_NO!$G$161</f>
        <v>0</v>
      </c>
      <c r="N19" s="249">
        <f t="shared" si="0"/>
        <v>3991.01</v>
      </c>
    </row>
    <row r="20" spans="1:14" ht="15.75" thickBot="1" x14ac:dyDescent="0.3">
      <c r="A20" s="32">
        <v>17</v>
      </c>
      <c r="B20" s="33" t="s">
        <v>27</v>
      </c>
      <c r="C20" s="143">
        <f>[1]STA_SP1_NO!$G$167</f>
        <v>0</v>
      </c>
      <c r="D20" s="118">
        <f>[2]STA_SP1_NO!$G$167</f>
        <v>0</v>
      </c>
      <c r="E20" s="143">
        <f>[3]STA_SP1_NO!$G$167</f>
        <v>0</v>
      </c>
      <c r="F20" s="118">
        <f>[4]STA_SP1_NO!$G$167</f>
        <v>0</v>
      </c>
      <c r="G20" s="61">
        <f>[5]STA_SP1_NO!$G$167</f>
        <v>0</v>
      </c>
      <c r="H20" s="144">
        <f>[6]STA_SP1_NO!$G$167</f>
        <v>0</v>
      </c>
      <c r="I20" s="61">
        <f>[7]STA_SP1_NO!$G$167</f>
        <v>0</v>
      </c>
      <c r="J20" s="68">
        <f>[8]STA_SP1_NO!$G$167</f>
        <v>0</v>
      </c>
      <c r="K20" s="117">
        <f>[9]STA_SP1_NO!$G$167</f>
        <v>0</v>
      </c>
      <c r="L20" s="68">
        <f>[10]STA_SP1_NO!$G$167</f>
        <v>0</v>
      </c>
      <c r="M20" s="332">
        <f>[11]STA_SP1_NO!$G$167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28</v>
      </c>
      <c r="C21" s="143">
        <f>[1]STA_SP1_NO!$G$170</f>
        <v>1494.9</v>
      </c>
      <c r="D21" s="118">
        <f>[2]STA_SP1_NO!$G$170</f>
        <v>5417.85</v>
      </c>
      <c r="E21" s="143">
        <f>[3]STA_SP1_NO!$G$170</f>
        <v>1327</v>
      </c>
      <c r="F21" s="118">
        <f>[4]STA_SP1_NO!$G$170</f>
        <v>9912.74</v>
      </c>
      <c r="G21" s="61">
        <f>[5]STA_SP1_NO!$G$170</f>
        <v>4251.53</v>
      </c>
      <c r="H21" s="144">
        <f>[6]STA_SP1_NO!$G$170</f>
        <v>785.83</v>
      </c>
      <c r="I21" s="61">
        <f>[7]STA_SP1_NO!$G$170</f>
        <v>2039</v>
      </c>
      <c r="J21" s="68">
        <f>[8]STA_SP1_NO!$G$170</f>
        <v>824</v>
      </c>
      <c r="K21" s="117">
        <f>[9]STA_SP1_NO!$G$170</f>
        <v>1278.6400000000001</v>
      </c>
      <c r="L21" s="68">
        <f>[10]STA_SP1_NO!$G$170</f>
        <v>1542</v>
      </c>
      <c r="M21" s="332">
        <f>[11]STA_SP1_NO!$G$170</f>
        <v>0</v>
      </c>
      <c r="N21" s="249">
        <f t="shared" si="0"/>
        <v>28873.489999999998</v>
      </c>
    </row>
    <row r="22" spans="1:14" ht="15.75" thickBot="1" x14ac:dyDescent="0.3">
      <c r="A22" s="36"/>
      <c r="B22" s="37" t="s">
        <v>36</v>
      </c>
      <c r="C22" s="110">
        <f t="shared" ref="C22:N22" si="1">SUM(C4:C21)</f>
        <v>226580.24</v>
      </c>
      <c r="D22" s="39">
        <f t="shared" si="1"/>
        <v>133844.43</v>
      </c>
      <c r="E22" s="40">
        <f t="shared" si="1"/>
        <v>50368</v>
      </c>
      <c r="F22" s="39">
        <f t="shared" si="1"/>
        <v>180167.81</v>
      </c>
      <c r="G22" s="41">
        <f t="shared" si="1"/>
        <v>120995.19000000002</v>
      </c>
      <c r="H22" s="42">
        <f t="shared" si="1"/>
        <v>66194.959999999992</v>
      </c>
      <c r="I22" s="41">
        <f t="shared" si="1"/>
        <v>159313</v>
      </c>
      <c r="J22" s="338">
        <f t="shared" si="1"/>
        <v>65413.4</v>
      </c>
      <c r="K22" s="350">
        <f t="shared" si="1"/>
        <v>98119.57</v>
      </c>
      <c r="L22" s="42">
        <f t="shared" si="1"/>
        <v>154420</v>
      </c>
      <c r="M22" s="333">
        <f t="shared" si="1"/>
        <v>6374.96</v>
      </c>
      <c r="N22" s="250">
        <f t="shared" si="1"/>
        <v>1261791.56</v>
      </c>
    </row>
    <row r="23" spans="1:14" ht="15.75" thickBot="1" x14ac:dyDescent="0.3">
      <c r="A23" s="43"/>
      <c r="B23" s="44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341"/>
      <c r="N23" s="46"/>
    </row>
    <row r="24" spans="1:14" ht="15.75" thickBot="1" x14ac:dyDescent="0.3">
      <c r="A24" s="457" t="s">
        <v>30</v>
      </c>
      <c r="B24" s="458"/>
      <c r="C24" s="48">
        <f>C22/N22</f>
        <v>0.17957026119274405</v>
      </c>
      <c r="D24" s="47">
        <f>D22/N22</f>
        <v>0.10607491303872724</v>
      </c>
      <c r="E24" s="48">
        <f>E22/N22</f>
        <v>3.99178450678494E-2</v>
      </c>
      <c r="F24" s="47">
        <f>F22/N22</f>
        <v>0.14278729998796313</v>
      </c>
      <c r="G24" s="48">
        <f>G22/N22</f>
        <v>9.5891582917229226E-2</v>
      </c>
      <c r="H24" s="336">
        <f>H22/N22</f>
        <v>5.2461089532093552E-2</v>
      </c>
      <c r="I24" s="48">
        <f>I22/N22</f>
        <v>0.12625936410606517</v>
      </c>
      <c r="J24" s="47">
        <f>J22/N22</f>
        <v>5.1841684533061864E-2</v>
      </c>
      <c r="K24" s="161">
        <f>K22/N22</f>
        <v>7.7762106761912406E-2</v>
      </c>
      <c r="L24" s="47">
        <f>L22/N22</f>
        <v>0.12238154453973364</v>
      </c>
      <c r="M24" s="342">
        <f>M22/N22</f>
        <v>5.0523083226202588E-3</v>
      </c>
      <c r="N24" s="251">
        <f>SUM(C24:M24)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63" t="s">
        <v>0</v>
      </c>
      <c r="B26" s="465" t="s">
        <v>1</v>
      </c>
      <c r="C26" s="454" t="s">
        <v>89</v>
      </c>
      <c r="D26" s="455"/>
      <c r="E26" s="455"/>
      <c r="F26" s="455"/>
      <c r="G26" s="455"/>
      <c r="H26" s="456"/>
      <c r="I26" s="441" t="s">
        <v>3</v>
      </c>
      <c r="J26" s="162"/>
      <c r="K26" s="1"/>
      <c r="L26" s="1"/>
      <c r="M26" s="1"/>
      <c r="N26" s="1"/>
    </row>
    <row r="27" spans="1:14" ht="15.75" thickBot="1" x14ac:dyDescent="0.3">
      <c r="A27" s="464"/>
      <c r="B27" s="466"/>
      <c r="C27" s="180" t="s">
        <v>10</v>
      </c>
      <c r="D27" s="181" t="s">
        <v>31</v>
      </c>
      <c r="E27" s="180" t="s">
        <v>7</v>
      </c>
      <c r="F27" s="181" t="s">
        <v>96</v>
      </c>
      <c r="G27" s="182" t="s">
        <v>4</v>
      </c>
      <c r="H27" s="211" t="s">
        <v>94</v>
      </c>
      <c r="I27" s="442"/>
      <c r="J27" s="81"/>
      <c r="K27" s="467" t="s">
        <v>32</v>
      </c>
      <c r="L27" s="468"/>
      <c r="M27" s="232">
        <f>N22</f>
        <v>1261791.56</v>
      </c>
      <c r="N27" s="233">
        <f>M27/M29</f>
        <v>0.78616010028873107</v>
      </c>
    </row>
    <row r="28" spans="1:14" ht="15.75" thickBot="1" x14ac:dyDescent="0.3">
      <c r="A28" s="184">
        <v>19</v>
      </c>
      <c r="B28" s="185" t="s">
        <v>33</v>
      </c>
      <c r="C28" s="183">
        <f>[12]STA_SP2_ZO!$N$51+[12]STA_SP2_ZO!$O$51</f>
        <v>132805</v>
      </c>
      <c r="D28" s="343">
        <f>[13]STA_SP2_ZO!$N$51+[13]STA_SP2_ZO!$O$51</f>
        <v>68076</v>
      </c>
      <c r="E28" s="183">
        <f>[14]STA_SP2_ZO!$O$51</f>
        <v>52631.99</v>
      </c>
      <c r="F28" s="186">
        <f>[15]STA_SP2_ZO!$N$51+[15]STA_SP2_ZO!$O$51</f>
        <v>18769</v>
      </c>
      <c r="G28" s="187">
        <f>[16]STA_SP2_ZO!$N$51+[16]STA_SP2_ZO!$O$51</f>
        <v>70235.83</v>
      </c>
      <c r="H28" s="188">
        <f>[17]STA_SP2_ZO!$N$51+[17]STA_SP2_ZO!$O$51</f>
        <v>696.47</v>
      </c>
      <c r="I28" s="230">
        <f>SUM(C28:H28)</f>
        <v>343214.29</v>
      </c>
      <c r="J28" s="81"/>
      <c r="K28" s="459" t="s">
        <v>33</v>
      </c>
      <c r="L28" s="460"/>
      <c r="M28" s="234">
        <f>I28</f>
        <v>343214.29</v>
      </c>
      <c r="N28" s="235">
        <f>M28/M29</f>
        <v>0.21383989971126893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61" t="s">
        <v>3</v>
      </c>
      <c r="L29" s="462"/>
      <c r="M29" s="236">
        <f>M27+M28</f>
        <v>1605005.85</v>
      </c>
      <c r="N29" s="237">
        <f>M29/M29</f>
        <v>1</v>
      </c>
    </row>
    <row r="30" spans="1:14" ht="15.75" thickBot="1" x14ac:dyDescent="0.3">
      <c r="A30" s="428" t="s">
        <v>34</v>
      </c>
      <c r="B30" s="429"/>
      <c r="C30" s="23">
        <f>C28/I28</f>
        <v>0.38694484428372727</v>
      </c>
      <c r="D30" s="82">
        <f>D28/I28</f>
        <v>0.19834838461999937</v>
      </c>
      <c r="E30" s="23">
        <f>E28/I28</f>
        <v>0.15335022909448207</v>
      </c>
      <c r="F30" s="82">
        <f>F28/I28</f>
        <v>5.4685951450331512E-2</v>
      </c>
      <c r="G30" s="23">
        <f>G28/I28</f>
        <v>0.20464133355286579</v>
      </c>
      <c r="H30" s="82">
        <f>H28/I28</f>
        <v>2.0292569985940856E-3</v>
      </c>
      <c r="I30" s="231">
        <f>I28/I28</f>
        <v>1</v>
      </c>
      <c r="J30" s="1"/>
      <c r="K30" s="1"/>
      <c r="L30" s="1"/>
      <c r="M30" s="1"/>
      <c r="N30" s="1"/>
    </row>
    <row r="35" spans="4:4" x14ac:dyDescent="0.25">
      <c r="D35" s="163"/>
    </row>
  </sheetData>
  <mergeCells count="14">
    <mergeCell ref="C1:K1"/>
    <mergeCell ref="A2:A3"/>
    <mergeCell ref="B2:B3"/>
    <mergeCell ref="N2:N3"/>
    <mergeCell ref="C2:M2"/>
    <mergeCell ref="A24:B24"/>
    <mergeCell ref="K28:L28"/>
    <mergeCell ref="K29:L29"/>
    <mergeCell ref="A30:B30"/>
    <mergeCell ref="A26:A27"/>
    <mergeCell ref="B26:B27"/>
    <mergeCell ref="K27:L27"/>
    <mergeCell ref="I26:I27"/>
    <mergeCell ref="C26:H26"/>
  </mergeCells>
  <pageMargins left="0.25" right="0.25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E35" sqref="E35"/>
    </sheetView>
  </sheetViews>
  <sheetFormatPr defaultRowHeight="15" x14ac:dyDescent="0.25"/>
  <cols>
    <col min="1" max="1" width="4.42578125" customWidth="1"/>
    <col min="2" max="2" width="28.42578125" customWidth="1"/>
    <col min="8" max="8" width="9.85546875" bestFit="1" customWidth="1"/>
  </cols>
  <sheetData>
    <row r="1" spans="1:14" ht="33" customHeight="1" thickBot="1" x14ac:dyDescent="0.3">
      <c r="A1" s="120"/>
      <c r="B1" s="120"/>
      <c r="C1" s="469" t="s">
        <v>100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26"/>
    </row>
    <row r="2" spans="1:14" ht="15.75" thickBot="1" x14ac:dyDescent="0.3">
      <c r="A2" s="472" t="s">
        <v>0</v>
      </c>
      <c r="B2" s="474" t="s">
        <v>1</v>
      </c>
      <c r="C2" s="486" t="s">
        <v>2</v>
      </c>
      <c r="D2" s="487"/>
      <c r="E2" s="487"/>
      <c r="F2" s="487"/>
      <c r="G2" s="487"/>
      <c r="H2" s="487"/>
      <c r="I2" s="487"/>
      <c r="J2" s="487"/>
      <c r="K2" s="487"/>
      <c r="L2" s="487"/>
      <c r="M2" s="488"/>
      <c r="N2" s="476" t="s">
        <v>3</v>
      </c>
    </row>
    <row r="3" spans="1:14" ht="15.75" thickBot="1" x14ac:dyDescent="0.3">
      <c r="A3" s="473"/>
      <c r="B3" s="475"/>
      <c r="C3" s="226" t="s">
        <v>68</v>
      </c>
      <c r="D3" s="246" t="s">
        <v>4</v>
      </c>
      <c r="E3" s="247" t="s">
        <v>5</v>
      </c>
      <c r="F3" s="246" t="s">
        <v>6</v>
      </c>
      <c r="G3" s="248" t="s">
        <v>8</v>
      </c>
      <c r="H3" s="252" t="s">
        <v>93</v>
      </c>
      <c r="I3" s="416" t="s">
        <v>96</v>
      </c>
      <c r="J3" s="345" t="s">
        <v>9</v>
      </c>
      <c r="K3" s="228" t="s">
        <v>92</v>
      </c>
      <c r="L3" s="254" t="s">
        <v>10</v>
      </c>
      <c r="M3" s="346" t="s">
        <v>95</v>
      </c>
      <c r="N3" s="477"/>
    </row>
    <row r="4" spans="1:14" x14ac:dyDescent="0.25">
      <c r="A4" s="30">
        <v>1</v>
      </c>
      <c r="B4" s="31" t="s">
        <v>11</v>
      </c>
      <c r="C4" s="143">
        <f>[1]STA_SP1_NO!$F$10</f>
        <v>248</v>
      </c>
      <c r="D4" s="118">
        <f>[2]STA_SP1_NO!$F$10</f>
        <v>219</v>
      </c>
      <c r="E4" s="143">
        <f>[3]STA_SP1_NO!$F$10</f>
        <v>68</v>
      </c>
      <c r="F4" s="118">
        <f>[4]STA_SP1_NO!$F$10</f>
        <v>267</v>
      </c>
      <c r="G4" s="61">
        <f>[5]STA_SP1_NO!$F$10</f>
        <v>337</v>
      </c>
      <c r="H4" s="144">
        <f>[6]STA_SP1_NO!$F$10</f>
        <v>81</v>
      </c>
      <c r="I4" s="61">
        <f>[7]STA_SP1_NO!$F$10</f>
        <v>161</v>
      </c>
      <c r="J4" s="68">
        <f>[8]STA_SP1_NO!$F$10</f>
        <v>119</v>
      </c>
      <c r="K4" s="61">
        <f>[9]STA_SP1_NO!$F$10</f>
        <v>161</v>
      </c>
      <c r="L4" s="68">
        <f>[10]STA_SP1_NO!$F$10</f>
        <v>332</v>
      </c>
      <c r="M4" s="332">
        <f>[11]STA_SP1_NO!$F$10</f>
        <v>1</v>
      </c>
      <c r="N4" s="249">
        <f t="shared" ref="N4:N21" si="0">SUM(C4:M4)</f>
        <v>1994</v>
      </c>
    </row>
    <row r="5" spans="1:14" x14ac:dyDescent="0.25">
      <c r="A5" s="32">
        <v>2</v>
      </c>
      <c r="B5" s="33" t="s">
        <v>12</v>
      </c>
      <c r="C5" s="143">
        <f>[1]STA_SP1_NO!$F$20</f>
        <v>4131</v>
      </c>
      <c r="D5" s="118">
        <f>[2]STA_SP1_NO!$F$20</f>
        <v>3644</v>
      </c>
      <c r="E5" s="143">
        <f>[3]STA_SP1_NO!$F$20</f>
        <v>300</v>
      </c>
      <c r="F5" s="118">
        <f>[4]STA_SP1_NO!$F$20</f>
        <v>1644</v>
      </c>
      <c r="G5" s="61">
        <f>[5]STA_SP1_NO!$F$20</f>
        <v>3272</v>
      </c>
      <c r="H5" s="144">
        <f>[6]STA_SP1_NO!$F$20</f>
        <v>0</v>
      </c>
      <c r="I5" s="61">
        <f>[7]STA_SP1_NO!$F$20</f>
        <v>2167</v>
      </c>
      <c r="J5" s="68">
        <f>[8]STA_SP1_NO!$F$20</f>
        <v>0</v>
      </c>
      <c r="K5" s="61">
        <f>[9]STA_SP1_NO!$F$20</f>
        <v>2088</v>
      </c>
      <c r="L5" s="68">
        <f>[10]STA_SP1_NO!$F$20</f>
        <v>4943</v>
      </c>
      <c r="M5" s="332">
        <f>[11]STA_SP1_NO!$F$20</f>
        <v>0</v>
      </c>
      <c r="N5" s="249">
        <f t="shared" si="0"/>
        <v>22189</v>
      </c>
    </row>
    <row r="6" spans="1:14" x14ac:dyDescent="0.25">
      <c r="A6" s="32">
        <v>3</v>
      </c>
      <c r="B6" s="33" t="s">
        <v>13</v>
      </c>
      <c r="C6" s="143">
        <f>[1]STA_SP1_NO!$F$24</f>
        <v>208</v>
      </c>
      <c r="D6" s="118">
        <f>[2]STA_SP1_NO!$F$24</f>
        <v>245</v>
      </c>
      <c r="E6" s="143">
        <f>[3]STA_SP1_NO!$F$24</f>
        <v>187</v>
      </c>
      <c r="F6" s="118">
        <f>[4]STA_SP1_NO!$F$24</f>
        <v>322</v>
      </c>
      <c r="G6" s="61">
        <f>[5]STA_SP1_NO!$F$24</f>
        <v>148</v>
      </c>
      <c r="H6" s="144">
        <f>[6]STA_SP1_NO!$F$24</f>
        <v>47</v>
      </c>
      <c r="I6" s="61">
        <f>[7]STA_SP1_NO!$F$24</f>
        <v>144</v>
      </c>
      <c r="J6" s="68">
        <f>[8]STA_SP1_NO!$F$24</f>
        <v>139</v>
      </c>
      <c r="K6" s="61">
        <f>[9]STA_SP1_NO!$F$24</f>
        <v>147</v>
      </c>
      <c r="L6" s="68">
        <f>[10]STA_SP1_NO!$F$24</f>
        <v>179</v>
      </c>
      <c r="M6" s="332">
        <f>[11]STA_SP1_NO!$F$24</f>
        <v>4</v>
      </c>
      <c r="N6" s="249">
        <f t="shared" si="0"/>
        <v>1770</v>
      </c>
    </row>
    <row r="7" spans="1:14" x14ac:dyDescent="0.25">
      <c r="A7" s="32">
        <v>4</v>
      </c>
      <c r="B7" s="33" t="s">
        <v>14</v>
      </c>
      <c r="C7" s="143">
        <f>[1]STA_SP1_NO!$F$27</f>
        <v>0</v>
      </c>
      <c r="D7" s="118">
        <f>[2]STA_SP1_NO!$F$27</f>
        <v>0</v>
      </c>
      <c r="E7" s="143">
        <f>[3]STA_SP1_NO!$F$27</f>
        <v>0</v>
      </c>
      <c r="F7" s="118">
        <f>[4]STA_SP1_NO!$F$27</f>
        <v>0</v>
      </c>
      <c r="G7" s="61">
        <f>[5]STA_SP1_NO!$F$27</f>
        <v>0</v>
      </c>
      <c r="H7" s="144">
        <f>[6]STA_SP1_NO!$F$27</f>
        <v>0</v>
      </c>
      <c r="I7" s="61">
        <f>[7]STA_SP1_NO!$F$27</f>
        <v>0</v>
      </c>
      <c r="J7" s="68">
        <f>[8]STA_SP1_NO!$F$27</f>
        <v>0</v>
      </c>
      <c r="K7" s="61">
        <f>[9]STA_SP1_NO!$F$27</f>
        <v>0</v>
      </c>
      <c r="L7" s="68">
        <f>[10]STA_SP1_NO!$F$27</f>
        <v>0</v>
      </c>
      <c r="M7" s="332">
        <f>[11]STA_SP1_NO!$F$27</f>
        <v>0</v>
      </c>
      <c r="N7" s="249">
        <f t="shared" si="0"/>
        <v>0</v>
      </c>
    </row>
    <row r="8" spans="1:14" x14ac:dyDescent="0.25">
      <c r="A8" s="32">
        <v>5</v>
      </c>
      <c r="B8" s="33" t="s">
        <v>15</v>
      </c>
      <c r="C8" s="143">
        <f>[1]STA_SP1_NO!$F$30</f>
        <v>0</v>
      </c>
      <c r="D8" s="118">
        <f>[2]STA_SP1_NO!$F$30</f>
        <v>0</v>
      </c>
      <c r="E8" s="143">
        <f>[3]STA_SP1_NO!$F$30</f>
        <v>0</v>
      </c>
      <c r="F8" s="118">
        <f>[4]STA_SP1_NO!$F$30</f>
        <v>0</v>
      </c>
      <c r="G8" s="61">
        <f>[5]STA_SP1_NO!$F$30</f>
        <v>0</v>
      </c>
      <c r="H8" s="144">
        <f>[6]STA_SP1_NO!$F$30</f>
        <v>0</v>
      </c>
      <c r="I8" s="61">
        <f>[7]STA_SP1_NO!$F$30</f>
        <v>0</v>
      </c>
      <c r="J8" s="68">
        <f>[8]STA_SP1_NO!$F$30</f>
        <v>0</v>
      </c>
      <c r="K8" s="61">
        <f>[9]STA_SP1_NO!$F$30</f>
        <v>0</v>
      </c>
      <c r="L8" s="68">
        <f>[10]STA_SP1_NO!$F$30</f>
        <v>0</v>
      </c>
      <c r="M8" s="332">
        <f>[11]STA_SP1_NO!$F$30</f>
        <v>0</v>
      </c>
      <c r="N8" s="249">
        <f t="shared" si="0"/>
        <v>0</v>
      </c>
    </row>
    <row r="9" spans="1:14" x14ac:dyDescent="0.25">
      <c r="A9" s="32">
        <v>6</v>
      </c>
      <c r="B9" s="33" t="s">
        <v>16</v>
      </c>
      <c r="C9" s="143">
        <f>[1]STA_SP1_NO!$F$33</f>
        <v>0</v>
      </c>
      <c r="D9" s="118">
        <f>[2]STA_SP1_NO!$F$33</f>
        <v>0</v>
      </c>
      <c r="E9" s="143">
        <f>[3]STA_SP1_NO!$F$33</f>
        <v>0</v>
      </c>
      <c r="F9" s="118">
        <f>[4]STA_SP1_NO!$F$33</f>
        <v>1</v>
      </c>
      <c r="G9" s="61">
        <f>[5]STA_SP1_NO!$F$33</f>
        <v>0</v>
      </c>
      <c r="H9" s="144">
        <f>[6]STA_SP1_NO!$F$33</f>
        <v>0</v>
      </c>
      <c r="I9" s="61">
        <f>[7]STA_SP1_NO!$F$33</f>
        <v>0</v>
      </c>
      <c r="J9" s="68">
        <f>[8]STA_SP1_NO!$F$33</f>
        <v>0</v>
      </c>
      <c r="K9" s="61">
        <f>[9]STA_SP1_NO!$F$33</f>
        <v>0</v>
      </c>
      <c r="L9" s="68">
        <f>[10]STA_SP1_NO!$F$33</f>
        <v>0</v>
      </c>
      <c r="M9" s="332">
        <f>[11]STA_SP1_NO!$F$33</f>
        <v>0</v>
      </c>
      <c r="N9" s="249">
        <f t="shared" si="0"/>
        <v>1</v>
      </c>
    </row>
    <row r="10" spans="1:14" x14ac:dyDescent="0.25">
      <c r="A10" s="32">
        <v>7</v>
      </c>
      <c r="B10" s="33" t="s">
        <v>17</v>
      </c>
      <c r="C10" s="143">
        <f>[1]STA_SP1_NO!$F$36</f>
        <v>0</v>
      </c>
      <c r="D10" s="118">
        <f>[2]STA_SP1_NO!$F$36</f>
        <v>1</v>
      </c>
      <c r="E10" s="143">
        <f>[3]STA_SP1_NO!$F$36</f>
        <v>3</v>
      </c>
      <c r="F10" s="118">
        <f>[4]STA_SP1_NO!$F$36</f>
        <v>0</v>
      </c>
      <c r="G10" s="61">
        <f>[5]STA_SP1_NO!$F$36</f>
        <v>0</v>
      </c>
      <c r="H10" s="144">
        <f>[6]STA_SP1_NO!$F$36</f>
        <v>0</v>
      </c>
      <c r="I10" s="61">
        <f>[7]STA_SP1_NO!$F$36</f>
        <v>5</v>
      </c>
      <c r="J10" s="68">
        <f>[8]STA_SP1_NO!$F$36</f>
        <v>1</v>
      </c>
      <c r="K10" s="61">
        <f>[9]STA_SP1_NO!$F$36</f>
        <v>0</v>
      </c>
      <c r="L10" s="68">
        <f>[10]STA_SP1_NO!$F$36</f>
        <v>0</v>
      </c>
      <c r="M10" s="332">
        <f>[11]STA_SP1_NO!$F$36</f>
        <v>0</v>
      </c>
      <c r="N10" s="249">
        <f t="shared" si="0"/>
        <v>10</v>
      </c>
    </row>
    <row r="11" spans="1:14" x14ac:dyDescent="0.25">
      <c r="A11" s="32">
        <v>8</v>
      </c>
      <c r="B11" s="33" t="s">
        <v>18</v>
      </c>
      <c r="C11" s="143">
        <f>[1]STA_SP1_NO!$F$40</f>
        <v>21</v>
      </c>
      <c r="D11" s="118">
        <f>[2]STA_SP1_NO!$F$40</f>
        <v>13</v>
      </c>
      <c r="E11" s="143">
        <f>[3]STA_SP1_NO!$F$40</f>
        <v>3</v>
      </c>
      <c r="F11" s="118">
        <f>[4]STA_SP1_NO!$F$40</f>
        <v>36</v>
      </c>
      <c r="G11" s="61">
        <f>[5]STA_SP1_NO!$F$40</f>
        <v>85</v>
      </c>
      <c r="H11" s="144">
        <f>[6]STA_SP1_NO!$F$40</f>
        <v>0</v>
      </c>
      <c r="I11" s="61">
        <f>[7]STA_SP1_NO!$F$40</f>
        <v>4</v>
      </c>
      <c r="J11" s="68">
        <f>[8]STA_SP1_NO!$F$40</f>
        <v>14</v>
      </c>
      <c r="K11" s="61">
        <f>[9]STA_SP1_NO!$F$40</f>
        <v>9</v>
      </c>
      <c r="L11" s="68">
        <f>[10]STA_SP1_NO!$F$40</f>
        <v>11</v>
      </c>
      <c r="M11" s="332">
        <f>[11]STA_SP1_NO!$F$40</f>
        <v>0</v>
      </c>
      <c r="N11" s="249">
        <f t="shared" si="0"/>
        <v>196</v>
      </c>
    </row>
    <row r="12" spans="1:14" x14ac:dyDescent="0.25">
      <c r="A12" s="32">
        <v>9</v>
      </c>
      <c r="B12" s="33" t="s">
        <v>19</v>
      </c>
      <c r="C12" s="143">
        <f>[1]STA_SP1_NO!$F$56</f>
        <v>218</v>
      </c>
      <c r="D12" s="118">
        <f>[2]STA_SP1_NO!$F$56</f>
        <v>250</v>
      </c>
      <c r="E12" s="143">
        <f>[3]STA_SP1_NO!$F$56</f>
        <v>68</v>
      </c>
      <c r="F12" s="118">
        <f>[4]STA_SP1_NO!$F$56</f>
        <v>240</v>
      </c>
      <c r="G12" s="61">
        <f>[5]STA_SP1_NO!$F$56</f>
        <v>16</v>
      </c>
      <c r="H12" s="144">
        <f>[6]STA_SP1_NO!$F$56</f>
        <v>3</v>
      </c>
      <c r="I12" s="61">
        <f>[7]STA_SP1_NO!$F$56</f>
        <v>35</v>
      </c>
      <c r="J12" s="68">
        <f>[8]STA_SP1_NO!$F$56</f>
        <v>13</v>
      </c>
      <c r="K12" s="61">
        <f>[9]STA_SP1_NO!$F$56</f>
        <v>30</v>
      </c>
      <c r="L12" s="68">
        <f>[10]STA_SP1_NO!$F$56</f>
        <v>76</v>
      </c>
      <c r="M12" s="332">
        <f>[11]STA_SP1_NO!$F$56</f>
        <v>0</v>
      </c>
      <c r="N12" s="249">
        <f t="shared" si="0"/>
        <v>949</v>
      </c>
    </row>
    <row r="13" spans="1:14" x14ac:dyDescent="0.25">
      <c r="A13" s="32">
        <v>10</v>
      </c>
      <c r="B13" s="33" t="s">
        <v>20</v>
      </c>
      <c r="C13" s="143">
        <f>[1]STA_SP1_NO!$F$88</f>
        <v>1173</v>
      </c>
      <c r="D13" s="118">
        <f>[2]STA_SP1_NO!$F$88</f>
        <v>615</v>
      </c>
      <c r="E13" s="143">
        <f>[3]STA_SP1_NO!$F$88</f>
        <v>446</v>
      </c>
      <c r="F13" s="118">
        <f>[4]STA_SP1_NO!$F$88</f>
        <v>688</v>
      </c>
      <c r="G13" s="61">
        <f>[5]STA_SP1_NO!$F$88</f>
        <v>579</v>
      </c>
      <c r="H13" s="144">
        <f>[6]STA_SP1_NO!$F$88</f>
        <v>1201</v>
      </c>
      <c r="I13" s="61">
        <f>[7]STA_SP1_NO!$F$88</f>
        <v>1521</v>
      </c>
      <c r="J13" s="68">
        <f>[8]STA_SP1_NO!$F$88</f>
        <v>701</v>
      </c>
      <c r="K13" s="61">
        <f>[9]STA_SP1_NO!$F$88</f>
        <v>535</v>
      </c>
      <c r="L13" s="68">
        <f>[10]STA_SP1_NO!$F$88</f>
        <v>811</v>
      </c>
      <c r="M13" s="332">
        <f>[11]STA_SP1_NO!$F$88</f>
        <v>59</v>
      </c>
      <c r="N13" s="249">
        <f t="shared" si="0"/>
        <v>8329</v>
      </c>
    </row>
    <row r="14" spans="1:14" x14ac:dyDescent="0.25">
      <c r="A14" s="32">
        <v>11</v>
      </c>
      <c r="B14" s="33" t="s">
        <v>21</v>
      </c>
      <c r="C14" s="143">
        <f>[1]STA_SP1_NO!$F$124</f>
        <v>0</v>
      </c>
      <c r="D14" s="118">
        <f>[2]STA_SP1_NO!$F$124</f>
        <v>0</v>
      </c>
      <c r="E14" s="143">
        <f>[3]STA_SP1_NO!$F$124</f>
        <v>0</v>
      </c>
      <c r="F14" s="118">
        <f>[4]STA_SP1_NO!$F$124</f>
        <v>0</v>
      </c>
      <c r="G14" s="61">
        <f>[5]STA_SP1_NO!$F$124</f>
        <v>0</v>
      </c>
      <c r="H14" s="144">
        <f>[6]STA_SP1_NO!$F$124</f>
        <v>0</v>
      </c>
      <c r="I14" s="61">
        <f>[7]STA_SP1_NO!$F$124</f>
        <v>0</v>
      </c>
      <c r="J14" s="68">
        <f>[8]STA_SP1_NO!$F$124</f>
        <v>0</v>
      </c>
      <c r="K14" s="61">
        <f>[9]STA_SP1_NO!$F$124</f>
        <v>0</v>
      </c>
      <c r="L14" s="68">
        <f>[10]STA_SP1_NO!$F$124</f>
        <v>0</v>
      </c>
      <c r="M14" s="332">
        <f>[11]STA_SP1_NO!$F$124</f>
        <v>0</v>
      </c>
      <c r="N14" s="249">
        <f t="shared" si="0"/>
        <v>0</v>
      </c>
    </row>
    <row r="15" spans="1:14" x14ac:dyDescent="0.25">
      <c r="A15" s="32">
        <v>12</v>
      </c>
      <c r="B15" s="33" t="s">
        <v>22</v>
      </c>
      <c r="C15" s="143">
        <f>[1]STA_SP1_NO!$F$128</f>
        <v>0</v>
      </c>
      <c r="D15" s="118">
        <f>[2]STA_SP1_NO!$F$128</f>
        <v>0</v>
      </c>
      <c r="E15" s="143">
        <f>[3]STA_SP1_NO!$F$128</f>
        <v>0</v>
      </c>
      <c r="F15" s="118">
        <f>[4]STA_SP1_NO!$F$128</f>
        <v>0</v>
      </c>
      <c r="G15" s="61">
        <f>[5]STA_SP1_NO!$F$128</f>
        <v>0</v>
      </c>
      <c r="H15" s="144">
        <f>[6]STA_SP1_NO!$F$128</f>
        <v>0</v>
      </c>
      <c r="I15" s="61">
        <f>[7]STA_SP1_NO!$F$128</f>
        <v>0</v>
      </c>
      <c r="J15" s="68">
        <f>[8]STA_SP1_NO!$F$128</f>
        <v>0</v>
      </c>
      <c r="K15" s="61">
        <f>[9]STA_SP1_NO!$F$128</f>
        <v>0</v>
      </c>
      <c r="L15" s="68">
        <f>[10]STA_SP1_NO!$F$128</f>
        <v>0</v>
      </c>
      <c r="M15" s="332">
        <f>[11]STA_SP1_NO!$F$128</f>
        <v>0</v>
      </c>
      <c r="N15" s="249">
        <f t="shared" si="0"/>
        <v>0</v>
      </c>
    </row>
    <row r="16" spans="1:14" x14ac:dyDescent="0.25">
      <c r="A16" s="32">
        <v>13</v>
      </c>
      <c r="B16" s="33" t="s">
        <v>23</v>
      </c>
      <c r="C16" s="143">
        <f>[1]STA_SP1_NO!$F$132</f>
        <v>13</v>
      </c>
      <c r="D16" s="118">
        <f>[2]STA_SP1_NO!$F$132</f>
        <v>1</v>
      </c>
      <c r="E16" s="143">
        <f>[3]STA_SP1_NO!$F$132</f>
        <v>6</v>
      </c>
      <c r="F16" s="118">
        <f>[4]STA_SP1_NO!$F$132</f>
        <v>18</v>
      </c>
      <c r="G16" s="61">
        <f>[5]STA_SP1_NO!$F$132</f>
        <v>5</v>
      </c>
      <c r="H16" s="144">
        <f>[6]STA_SP1_NO!$F$132</f>
        <v>0</v>
      </c>
      <c r="I16" s="61">
        <f>[7]STA_SP1_NO!$F$132</f>
        <v>0</v>
      </c>
      <c r="J16" s="68">
        <f>[8]STA_SP1_NO!$F$132</f>
        <v>13</v>
      </c>
      <c r="K16" s="61">
        <f>[9]STA_SP1_NO!$F$132</f>
        <v>1</v>
      </c>
      <c r="L16" s="68">
        <f>[10]STA_SP1_NO!$F$132</f>
        <v>12</v>
      </c>
      <c r="M16" s="332">
        <f>[11]STA_SP1_NO!$F$132</f>
        <v>0</v>
      </c>
      <c r="N16" s="249">
        <f t="shared" si="0"/>
        <v>69</v>
      </c>
    </row>
    <row r="17" spans="1:14" x14ac:dyDescent="0.25">
      <c r="A17" s="32">
        <v>14</v>
      </c>
      <c r="B17" s="33" t="s">
        <v>24</v>
      </c>
      <c r="C17" s="143">
        <f>[1]STA_SP1_NO!$F$153</f>
        <v>0</v>
      </c>
      <c r="D17" s="118">
        <f>[2]STA_SP1_NO!$F$153</f>
        <v>9</v>
      </c>
      <c r="E17" s="143">
        <f>[3]STA_SP1_NO!$F$153</f>
        <v>0</v>
      </c>
      <c r="F17" s="118">
        <f>[4]STA_SP1_NO!$F$153</f>
        <v>0</v>
      </c>
      <c r="G17" s="61">
        <f>[5]STA_SP1_NO!$F$153</f>
        <v>0</v>
      </c>
      <c r="H17" s="144">
        <f>[6]STA_SP1_NO!$F$153</f>
        <v>0</v>
      </c>
      <c r="I17" s="61">
        <f>[7]STA_SP1_NO!$F$153</f>
        <v>0</v>
      </c>
      <c r="J17" s="68">
        <f>[8]STA_SP1_NO!$F$153</f>
        <v>0</v>
      </c>
      <c r="K17" s="61">
        <f>[9]STA_SP1_NO!$F$153</f>
        <v>2</v>
      </c>
      <c r="L17" s="68">
        <f>[10]STA_SP1_NO!$F$153</f>
        <v>0</v>
      </c>
      <c r="M17" s="332">
        <f>[11]STA_SP1_NO!$F$153</f>
        <v>0</v>
      </c>
      <c r="N17" s="249">
        <f t="shared" si="0"/>
        <v>11</v>
      </c>
    </row>
    <row r="18" spans="1:14" x14ac:dyDescent="0.25">
      <c r="A18" s="32">
        <v>15</v>
      </c>
      <c r="B18" s="33" t="s">
        <v>25</v>
      </c>
      <c r="C18" s="143">
        <f>[1]STA_SP1_NO!$F$158</f>
        <v>0</v>
      </c>
      <c r="D18" s="118">
        <f>[2]STA_SP1_NO!$F$158</f>
        <v>0</v>
      </c>
      <c r="E18" s="143">
        <f>[3]STA_SP1_NO!$F$158</f>
        <v>0</v>
      </c>
      <c r="F18" s="118">
        <f>[4]STA_SP1_NO!$F$158</f>
        <v>0</v>
      </c>
      <c r="G18" s="61">
        <f>[5]STA_SP1_NO!$F$158</f>
        <v>0</v>
      </c>
      <c r="H18" s="144">
        <f>[6]STA_SP1_NO!$F$158</f>
        <v>0</v>
      </c>
      <c r="I18" s="61">
        <f>[7]STA_SP1_NO!$F$158</f>
        <v>0</v>
      </c>
      <c r="J18" s="68">
        <f>[8]STA_SP1_NO!$F$158</f>
        <v>0</v>
      </c>
      <c r="K18" s="61">
        <f>[9]STA_SP1_NO!$F$158</f>
        <v>0</v>
      </c>
      <c r="L18" s="68">
        <f>[10]STA_SP1_NO!$F$158</f>
        <v>0</v>
      </c>
      <c r="M18" s="332">
        <f>[11]STA_SP1_NO!$F$158</f>
        <v>0</v>
      </c>
      <c r="N18" s="249">
        <f t="shared" si="0"/>
        <v>0</v>
      </c>
    </row>
    <row r="19" spans="1:14" x14ac:dyDescent="0.25">
      <c r="A19" s="32">
        <v>16</v>
      </c>
      <c r="B19" s="33" t="s">
        <v>26</v>
      </c>
      <c r="C19" s="143">
        <f>[1]STA_SP1_NO!$F$161</f>
        <v>9</v>
      </c>
      <c r="D19" s="118">
        <f>[2]STA_SP1_NO!$F$161</f>
        <v>0</v>
      </c>
      <c r="E19" s="143">
        <f>[3]STA_SP1_NO!$F$161</f>
        <v>0</v>
      </c>
      <c r="F19" s="118">
        <f>[4]STA_SP1_NO!$F$161</f>
        <v>3</v>
      </c>
      <c r="G19" s="61">
        <f>[5]STA_SP1_NO!$F$161</f>
        <v>0</v>
      </c>
      <c r="H19" s="144">
        <f>[6]STA_SP1_NO!$F$161</f>
        <v>0</v>
      </c>
      <c r="I19" s="61">
        <f>[7]STA_SP1_NO!$F$161</f>
        <v>1</v>
      </c>
      <c r="J19" s="68">
        <f>[8]STA_SP1_NO!$F$161</f>
        <v>0</v>
      </c>
      <c r="K19" s="61">
        <f>[9]STA_SP1_NO!$F$161</f>
        <v>0</v>
      </c>
      <c r="L19" s="68">
        <f>[10]STA_SP1_NO!$F$161</f>
        <v>0</v>
      </c>
      <c r="M19" s="332">
        <f>[11]STA_SP1_NO!$F$161</f>
        <v>0</v>
      </c>
      <c r="N19" s="249">
        <f t="shared" si="0"/>
        <v>13</v>
      </c>
    </row>
    <row r="20" spans="1:14" x14ac:dyDescent="0.25">
      <c r="A20" s="32">
        <v>17</v>
      </c>
      <c r="B20" s="33" t="s">
        <v>27</v>
      </c>
      <c r="C20" s="143">
        <f>[1]STA_SP1_NO!$F$167</f>
        <v>0</v>
      </c>
      <c r="D20" s="118">
        <f>[2]STA_SP1_NO!$F$167</f>
        <v>0</v>
      </c>
      <c r="E20" s="143">
        <f>[3]STA_SP1_NO!$F$167</f>
        <v>0</v>
      </c>
      <c r="F20" s="118">
        <f>[4]STA_SP1_NO!$F$167</f>
        <v>0</v>
      </c>
      <c r="G20" s="61">
        <f>[5]STA_SP1_NO!$F$167</f>
        <v>0</v>
      </c>
      <c r="H20" s="144">
        <f>[6]STA_SP1_NO!$F$167</f>
        <v>0</v>
      </c>
      <c r="I20" s="61">
        <f>[7]STA_SP1_NO!$F$167</f>
        <v>0</v>
      </c>
      <c r="J20" s="68">
        <f>[8]STA_SP1_NO!$F$167</f>
        <v>0</v>
      </c>
      <c r="K20" s="61">
        <f>[9]STA_SP1_NO!$F$167</f>
        <v>0</v>
      </c>
      <c r="L20" s="68">
        <f>[10]STA_SP1_NO!$F$167</f>
        <v>0</v>
      </c>
      <c r="M20" s="332">
        <f>[11]STA_SP1_NO!$F$167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28</v>
      </c>
      <c r="C21" s="143">
        <f>[1]STA_SP1_NO!$F$170</f>
        <v>73</v>
      </c>
      <c r="D21" s="118">
        <f>[2]STA_SP1_NO!$F$170</f>
        <v>264</v>
      </c>
      <c r="E21" s="143">
        <f>[3]STA_SP1_NO!$F$170</f>
        <v>31</v>
      </c>
      <c r="F21" s="118">
        <f>[4]STA_SP1_NO!$F$170</f>
        <v>158</v>
      </c>
      <c r="G21" s="61">
        <f>[5]STA_SP1_NO!$F$170</f>
        <v>233</v>
      </c>
      <c r="H21" s="144">
        <f>[6]STA_SP1_NO!$F$170</f>
        <v>39</v>
      </c>
      <c r="I21" s="61">
        <f>[7]STA_SP1_NO!$F$170</f>
        <v>29</v>
      </c>
      <c r="J21" s="68">
        <f>[8]STA_SP1_NO!$F$170</f>
        <v>52</v>
      </c>
      <c r="K21" s="61">
        <f>[9]STA_SP1_NO!$F$170</f>
        <v>25</v>
      </c>
      <c r="L21" s="68">
        <f>[10]STA_SP1_NO!$F$170</f>
        <v>75</v>
      </c>
      <c r="M21" s="332">
        <f>[11]STA_SP1_NO!$F$170</f>
        <v>0</v>
      </c>
      <c r="N21" s="249">
        <f t="shared" si="0"/>
        <v>979</v>
      </c>
    </row>
    <row r="22" spans="1:14" ht="15.75" thickBot="1" x14ac:dyDescent="0.3">
      <c r="A22" s="36"/>
      <c r="B22" s="37" t="s">
        <v>3</v>
      </c>
      <c r="C22" s="38">
        <f>SUM(C4:C21)</f>
        <v>6094</v>
      </c>
      <c r="D22" s="51">
        <f>SUM(D4:D21)</f>
        <v>5261</v>
      </c>
      <c r="E22" s="69">
        <f t="shared" ref="E22:F22" si="1">SUM(E4:E21)</f>
        <v>1112</v>
      </c>
      <c r="F22" s="39">
        <f t="shared" si="1"/>
        <v>3377</v>
      </c>
      <c r="G22" s="41">
        <f t="shared" ref="G22:N22" si="2">SUM(G4:G21)</f>
        <v>4675</v>
      </c>
      <c r="H22" s="42">
        <f t="shared" si="2"/>
        <v>1371</v>
      </c>
      <c r="I22" s="41">
        <f t="shared" si="2"/>
        <v>4067</v>
      </c>
      <c r="J22" s="42">
        <f t="shared" si="2"/>
        <v>1052</v>
      </c>
      <c r="K22" s="41">
        <f t="shared" si="2"/>
        <v>2998</v>
      </c>
      <c r="L22" s="42">
        <f t="shared" si="2"/>
        <v>6439</v>
      </c>
      <c r="M22" s="347">
        <f t="shared" si="2"/>
        <v>64</v>
      </c>
      <c r="N22" s="250">
        <f t="shared" si="2"/>
        <v>36510</v>
      </c>
    </row>
    <row r="23" spans="1:14" ht="15.75" thickBot="1" x14ac:dyDescent="0.3">
      <c r="A23" s="43"/>
      <c r="B23" s="44"/>
      <c r="C23" s="46"/>
      <c r="D23" s="58"/>
      <c r="E23" s="58"/>
      <c r="F23" s="46"/>
      <c r="G23" s="46"/>
      <c r="H23" s="46"/>
      <c r="I23" s="46"/>
      <c r="J23" s="46"/>
      <c r="K23" s="46"/>
      <c r="L23" s="46"/>
      <c r="M23" s="348"/>
      <c r="N23" s="46"/>
    </row>
    <row r="24" spans="1:14" ht="15.75" thickBot="1" x14ac:dyDescent="0.3">
      <c r="A24" s="457" t="s">
        <v>30</v>
      </c>
      <c r="B24" s="458"/>
      <c r="C24" s="48">
        <f>C22/N22</f>
        <v>0.1669131744727472</v>
      </c>
      <c r="D24" s="47">
        <f>D22/N22</f>
        <v>0.14409750753218295</v>
      </c>
      <c r="E24" s="48">
        <f>E22/N22</f>
        <v>3.0457408929060532E-2</v>
      </c>
      <c r="F24" s="47">
        <f>F22/N22</f>
        <v>9.2495206792659546E-2</v>
      </c>
      <c r="G24" s="48">
        <f>G22/N22</f>
        <v>0.12804711038071762</v>
      </c>
      <c r="H24" s="47">
        <f>H22/N22</f>
        <v>3.7551355792933443E-2</v>
      </c>
      <c r="I24" s="48">
        <f>I22/N22</f>
        <v>0.11139413859216653</v>
      </c>
      <c r="J24" s="47">
        <f>J22/N22</f>
        <v>2.881402355519036E-2</v>
      </c>
      <c r="K24" s="48">
        <f>K22/N22</f>
        <v>8.2114489181046288E-2</v>
      </c>
      <c r="L24" s="336">
        <f>L22/N22</f>
        <v>0.17636264037250068</v>
      </c>
      <c r="M24" s="342">
        <f>M22/N22</f>
        <v>1.7529443987948506E-3</v>
      </c>
      <c r="N24" s="251">
        <f>N22/N22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36" t="s">
        <v>0</v>
      </c>
      <c r="B26" s="438" t="s">
        <v>1</v>
      </c>
      <c r="C26" s="483" t="s">
        <v>89</v>
      </c>
      <c r="D26" s="484"/>
      <c r="E26" s="484"/>
      <c r="F26" s="484"/>
      <c r="G26" s="484"/>
      <c r="H26" s="485"/>
      <c r="I26" s="481" t="s">
        <v>3</v>
      </c>
      <c r="J26" s="1"/>
      <c r="K26" s="1"/>
      <c r="L26" s="1"/>
      <c r="M26" s="1"/>
      <c r="N26" s="1"/>
    </row>
    <row r="27" spans="1:14" ht="15.75" thickBot="1" x14ac:dyDescent="0.3">
      <c r="A27" s="437"/>
      <c r="B27" s="440"/>
      <c r="C27" s="189" t="s">
        <v>10</v>
      </c>
      <c r="D27" s="215" t="s">
        <v>31</v>
      </c>
      <c r="E27" s="191" t="s">
        <v>7</v>
      </c>
      <c r="F27" s="127" t="s">
        <v>96</v>
      </c>
      <c r="G27" s="213" t="s">
        <v>4</v>
      </c>
      <c r="H27" s="253" t="s">
        <v>94</v>
      </c>
      <c r="I27" s="482"/>
      <c r="J27" s="81"/>
      <c r="K27" s="467" t="s">
        <v>32</v>
      </c>
      <c r="L27" s="468"/>
      <c r="M27" s="232">
        <f>N22</f>
        <v>36510</v>
      </c>
      <c r="N27" s="233">
        <f>M27/M29</f>
        <v>0.95892209907023163</v>
      </c>
    </row>
    <row r="28" spans="1:14" ht="15.75" thickBot="1" x14ac:dyDescent="0.3">
      <c r="A28" s="22">
        <v>19</v>
      </c>
      <c r="B28" s="80" t="s">
        <v>33</v>
      </c>
      <c r="C28" s="190">
        <f>[12]STA_SP2_ZO!$L$51</f>
        <v>627</v>
      </c>
      <c r="D28" s="192">
        <f>[13]STA_SP2_ZO!$L$51</f>
        <v>291</v>
      </c>
      <c r="E28" s="196">
        <f>[14]STA_SP2_ZO!$L$51</f>
        <v>237</v>
      </c>
      <c r="F28" s="50">
        <f>[15]STA_SP2_ZO!$L$51</f>
        <v>127</v>
      </c>
      <c r="G28" s="115">
        <f>[16]STA_SP2_ZO!$L$51</f>
        <v>278</v>
      </c>
      <c r="H28" s="214">
        <f>[17]STA_SP2_ZO!$L$51</f>
        <v>4</v>
      </c>
      <c r="I28" s="244">
        <f>SUM(C28:H28)</f>
        <v>1564</v>
      </c>
      <c r="J28" s="81"/>
      <c r="K28" s="459" t="s">
        <v>33</v>
      </c>
      <c r="L28" s="460"/>
      <c r="M28" s="234">
        <f>I28</f>
        <v>1564</v>
      </c>
      <c r="N28" s="235">
        <f>M28/M29</f>
        <v>4.1077900929768346E-2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61" t="s">
        <v>3</v>
      </c>
      <c r="L29" s="462"/>
      <c r="M29" s="236">
        <f>M27+M28</f>
        <v>38074</v>
      </c>
      <c r="N29" s="237">
        <f>M29/M29</f>
        <v>1</v>
      </c>
    </row>
    <row r="30" spans="1:14" ht="15.75" thickBot="1" x14ac:dyDescent="0.3">
      <c r="A30" s="428" t="s">
        <v>34</v>
      </c>
      <c r="B30" s="429"/>
      <c r="C30" s="23">
        <f>C28/I28</f>
        <v>0.40089514066496162</v>
      </c>
      <c r="D30" s="82">
        <f>D28/I28</f>
        <v>0.18606138107416881</v>
      </c>
      <c r="E30" s="23">
        <f>E28/I28</f>
        <v>0.15153452685421995</v>
      </c>
      <c r="F30" s="82">
        <f>F28/I28</f>
        <v>8.1202046035805622E-2</v>
      </c>
      <c r="G30" s="23">
        <f>G28/I28</f>
        <v>0.17774936061381075</v>
      </c>
      <c r="H30" s="82">
        <f>H28/I28</f>
        <v>2.5575447570332483E-3</v>
      </c>
      <c r="I30" s="231">
        <f>I28/I28</f>
        <v>1</v>
      </c>
      <c r="J30" s="1"/>
      <c r="K30" s="1"/>
      <c r="L30" s="1"/>
      <c r="M30" s="1"/>
      <c r="N30" s="1"/>
    </row>
    <row r="31" spans="1:14" x14ac:dyDescent="0.25">
      <c r="H31" s="1"/>
    </row>
    <row r="32" spans="1:14" x14ac:dyDescent="0.25">
      <c r="D32" s="163"/>
    </row>
  </sheetData>
  <mergeCells count="14">
    <mergeCell ref="N2:N3"/>
    <mergeCell ref="A30:B30"/>
    <mergeCell ref="K28:L28"/>
    <mergeCell ref="C1:K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F33" sqref="F33"/>
    </sheetView>
  </sheetViews>
  <sheetFormatPr defaultRowHeight="15" x14ac:dyDescent="0.25"/>
  <cols>
    <col min="1" max="1" width="4.5703125" customWidth="1"/>
    <col min="2" max="2" width="27.85546875" customWidth="1"/>
    <col min="8" max="8" width="9.5703125" customWidth="1"/>
  </cols>
  <sheetData>
    <row r="1" spans="1:14" ht="28.5" customHeight="1" thickBot="1" x14ac:dyDescent="0.3">
      <c r="A1" s="120"/>
      <c r="B1" s="120"/>
      <c r="C1" s="469" t="s">
        <v>101</v>
      </c>
      <c r="D1" s="470"/>
      <c r="E1" s="470"/>
      <c r="F1" s="470"/>
      <c r="G1" s="470"/>
      <c r="H1" s="470"/>
      <c r="I1" s="470"/>
      <c r="J1" s="26"/>
      <c r="K1" s="26"/>
      <c r="L1" s="26"/>
      <c r="M1" s="26"/>
      <c r="N1" s="26"/>
    </row>
    <row r="2" spans="1:14" ht="15.75" thickBot="1" x14ac:dyDescent="0.3">
      <c r="A2" s="472" t="s">
        <v>0</v>
      </c>
      <c r="B2" s="474" t="s">
        <v>1</v>
      </c>
      <c r="C2" s="491" t="s">
        <v>2</v>
      </c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76" t="s">
        <v>3</v>
      </c>
    </row>
    <row r="3" spans="1:14" ht="15.75" thickBot="1" x14ac:dyDescent="0.3">
      <c r="A3" s="473"/>
      <c r="B3" s="490"/>
      <c r="C3" s="354" t="s">
        <v>68</v>
      </c>
      <c r="D3" s="307" t="s">
        <v>4</v>
      </c>
      <c r="E3" s="355" t="s">
        <v>5</v>
      </c>
      <c r="F3" s="307" t="s">
        <v>6</v>
      </c>
      <c r="G3" s="357" t="s">
        <v>8</v>
      </c>
      <c r="H3" s="356" t="s">
        <v>93</v>
      </c>
      <c r="I3" s="415" t="s">
        <v>96</v>
      </c>
      <c r="J3" s="372" t="s">
        <v>9</v>
      </c>
      <c r="K3" s="358" t="s">
        <v>92</v>
      </c>
      <c r="L3" s="307" t="s">
        <v>10</v>
      </c>
      <c r="M3" s="373" t="s">
        <v>95</v>
      </c>
      <c r="N3" s="489"/>
    </row>
    <row r="4" spans="1:14" x14ac:dyDescent="0.25">
      <c r="A4" s="30">
        <v>1</v>
      </c>
      <c r="B4" s="351" t="s">
        <v>11</v>
      </c>
      <c r="C4" s="370">
        <f>[1]STA_SP1_NO!$H$10</f>
        <v>186</v>
      </c>
      <c r="D4" s="54">
        <f>[2]STA_SP1_NO!$H$10</f>
        <v>212</v>
      </c>
      <c r="E4" s="370">
        <f>[3]STA_SP1_NO!$H$10</f>
        <v>56</v>
      </c>
      <c r="F4" s="54">
        <f>[4]STA_SP1_NO!$H$10</f>
        <v>142</v>
      </c>
      <c r="G4" s="62">
        <f>[5]STA_SP1_NO!$H$10</f>
        <v>238</v>
      </c>
      <c r="H4" s="371">
        <f>[6]STA_SP1_NO!$H$10</f>
        <v>91</v>
      </c>
      <c r="I4" s="62">
        <f>[7]STA_SP1_NO!$H$10</f>
        <v>36</v>
      </c>
      <c r="J4" s="54">
        <f>[8]STA_SP1_NO!$H$10</f>
        <v>60</v>
      </c>
      <c r="K4" s="62">
        <f>[9]STA_SP1_NO!$H$10</f>
        <v>90</v>
      </c>
      <c r="L4" s="54">
        <f>[10]STA_SP1_NO!$H$10</f>
        <v>385</v>
      </c>
      <c r="M4" s="374">
        <f>[11]STA_SP1_NO!$H$10</f>
        <v>3</v>
      </c>
      <c r="N4" s="369">
        <f t="shared" ref="N4:N22" si="0">SUM(C4:M4)</f>
        <v>1499</v>
      </c>
    </row>
    <row r="5" spans="1:14" x14ac:dyDescent="0.25">
      <c r="A5" s="32">
        <v>2</v>
      </c>
      <c r="B5" s="352" t="s">
        <v>12</v>
      </c>
      <c r="C5" s="370">
        <f>[1]STA_SP1_NO!$H$20</f>
        <v>220</v>
      </c>
      <c r="D5" s="54">
        <f>[2]STA_SP1_NO!$H$20</f>
        <v>779</v>
      </c>
      <c r="E5" s="370">
        <f>[3]STA_SP1_NO!$H$20</f>
        <v>65</v>
      </c>
      <c r="F5" s="54">
        <f>[4]STA_SP1_NO!$H$20</f>
        <v>567</v>
      </c>
      <c r="G5" s="62">
        <f>[5]STA_SP1_NO!$H$20</f>
        <v>935</v>
      </c>
      <c r="H5" s="371">
        <f>[6]STA_SP1_NO!$H$20</f>
        <v>0</v>
      </c>
      <c r="I5" s="62">
        <f>[7]STA_SP1_NO!$H$20</f>
        <v>167</v>
      </c>
      <c r="J5" s="54">
        <f>[8]STA_SP1_NO!$H$20</f>
        <v>0</v>
      </c>
      <c r="K5" s="62">
        <f>[9]STA_SP1_NO!$H$20</f>
        <v>248</v>
      </c>
      <c r="L5" s="54">
        <f>[10]STA_SP1_NO!$H$20</f>
        <v>746</v>
      </c>
      <c r="M5" s="374">
        <f>[11]STA_SP1_NO!$H$20</f>
        <v>0</v>
      </c>
      <c r="N5" s="369">
        <f t="shared" si="0"/>
        <v>3727</v>
      </c>
    </row>
    <row r="6" spans="1:14" x14ac:dyDescent="0.25">
      <c r="A6" s="32">
        <v>3</v>
      </c>
      <c r="B6" s="352" t="s">
        <v>13</v>
      </c>
      <c r="C6" s="370">
        <f>[1]STA_SP1_NO!$H$24</f>
        <v>275</v>
      </c>
      <c r="D6" s="54">
        <f>[2]STA_SP1_NO!$H$24</f>
        <v>338</v>
      </c>
      <c r="E6" s="370">
        <f>[3]STA_SP1_NO!$H$24</f>
        <v>172</v>
      </c>
      <c r="F6" s="54">
        <f>[4]STA_SP1_NO!$H$24</f>
        <v>321</v>
      </c>
      <c r="G6" s="62">
        <f>[5]STA_SP1_NO!$H$24</f>
        <v>352</v>
      </c>
      <c r="H6" s="371">
        <f>[6]STA_SP1_NO!$H$24</f>
        <v>148</v>
      </c>
      <c r="I6" s="62">
        <f>[7]STA_SP1_NO!$H$24</f>
        <v>176</v>
      </c>
      <c r="J6" s="54">
        <f>[8]STA_SP1_NO!$H$24</f>
        <v>171</v>
      </c>
      <c r="K6" s="62">
        <f>[9]STA_SP1_NO!$H$24</f>
        <v>171</v>
      </c>
      <c r="L6" s="54">
        <f>[10]STA_SP1_NO!$H$24</f>
        <v>349</v>
      </c>
      <c r="M6" s="374">
        <f>[11]STA_SP1_NO!$H$24</f>
        <v>10</v>
      </c>
      <c r="N6" s="369">
        <f t="shared" si="0"/>
        <v>2483</v>
      </c>
    </row>
    <row r="7" spans="1:14" x14ac:dyDescent="0.25">
      <c r="A7" s="32">
        <v>4</v>
      </c>
      <c r="B7" s="352" t="s">
        <v>14</v>
      </c>
      <c r="C7" s="370">
        <f>[1]STA_SP1_NO!$H$27</f>
        <v>0</v>
      </c>
      <c r="D7" s="54">
        <f>[2]STA_SP1_NO!$H$27</f>
        <v>0</v>
      </c>
      <c r="E7" s="370">
        <f>[3]STA_SP1_NO!$H$27</f>
        <v>0</v>
      </c>
      <c r="F7" s="54">
        <f>[4]STA_SP1_NO!$H$27</f>
        <v>0</v>
      </c>
      <c r="G7" s="62">
        <f>[5]STA_SP1_NO!$H$27</f>
        <v>0</v>
      </c>
      <c r="H7" s="371">
        <f>[6]STA_SP1_NO!$H$27</f>
        <v>0</v>
      </c>
      <c r="I7" s="62">
        <f>[7]STA_SP1_NO!$H$27</f>
        <v>0</v>
      </c>
      <c r="J7" s="54">
        <f>[8]STA_SP1_NO!$H$27</f>
        <v>0</v>
      </c>
      <c r="K7" s="62">
        <f>[9]STA_SP1_NO!$H$27</f>
        <v>0</v>
      </c>
      <c r="L7" s="54">
        <f>[10]STA_SP1_NO!$H$27</f>
        <v>0</v>
      </c>
      <c r="M7" s="374">
        <f>[11]STA_SP1_NO!$H$27</f>
        <v>0</v>
      </c>
      <c r="N7" s="369">
        <f t="shared" si="0"/>
        <v>0</v>
      </c>
    </row>
    <row r="8" spans="1:14" x14ac:dyDescent="0.25">
      <c r="A8" s="32">
        <v>5</v>
      </c>
      <c r="B8" s="352" t="s">
        <v>15</v>
      </c>
      <c r="C8" s="370">
        <f>[1]STA_SP1_NO!$H$30</f>
        <v>0</v>
      </c>
      <c r="D8" s="54">
        <f>[2]STA_SP1_NO!$H$30</f>
        <v>1</v>
      </c>
      <c r="E8" s="370">
        <f>[3]STA_SP1_NO!$H$30</f>
        <v>0</v>
      </c>
      <c r="F8" s="54">
        <f>[4]STA_SP1_NO!$H$30</f>
        <v>0</v>
      </c>
      <c r="G8" s="62">
        <f>[5]STA_SP1_NO!$H$30</f>
        <v>0</v>
      </c>
      <c r="H8" s="371">
        <f>[6]STA_SP1_NO!$H$30</f>
        <v>0</v>
      </c>
      <c r="I8" s="62">
        <f>[7]STA_SP1_NO!$H$30</f>
        <v>0</v>
      </c>
      <c r="J8" s="54">
        <f>[8]STA_SP1_NO!$H$30</f>
        <v>1</v>
      </c>
      <c r="K8" s="62">
        <f>[9]STA_SP1_NO!$H$30</f>
        <v>0</v>
      </c>
      <c r="L8" s="54">
        <f>[10]STA_SP1_NO!$H$30</f>
        <v>0</v>
      </c>
      <c r="M8" s="374">
        <f>[11]STA_SP1_NO!$H$30</f>
        <v>0</v>
      </c>
      <c r="N8" s="369">
        <f t="shared" si="0"/>
        <v>2</v>
      </c>
    </row>
    <row r="9" spans="1:14" x14ac:dyDescent="0.25">
      <c r="A9" s="32">
        <v>6</v>
      </c>
      <c r="B9" s="352" t="s">
        <v>16</v>
      </c>
      <c r="C9" s="370">
        <f>[1]STA_SP1_NO!$H$33</f>
        <v>0</v>
      </c>
      <c r="D9" s="54">
        <f>[2]STA_SP1_NO!$H$33</f>
        <v>0</v>
      </c>
      <c r="E9" s="370">
        <f>[3]STA_SP1_NO!$H$33</f>
        <v>0</v>
      </c>
      <c r="F9" s="54">
        <f>[4]STA_SP1_NO!$H$33</f>
        <v>0</v>
      </c>
      <c r="G9" s="62">
        <f>[5]STA_SP1_NO!$H$33</f>
        <v>0</v>
      </c>
      <c r="H9" s="371">
        <f>[6]STA_SP1_NO!$H$33</f>
        <v>0</v>
      </c>
      <c r="I9" s="62">
        <f>[7]STA_SP1_NO!$H$33</f>
        <v>0</v>
      </c>
      <c r="J9" s="54">
        <f>[8]STA_SP1_NO!$H$33</f>
        <v>0</v>
      </c>
      <c r="K9" s="62">
        <f>[9]STA_SP1_NO!$H$33</f>
        <v>0</v>
      </c>
      <c r="L9" s="54">
        <f>[10]STA_SP1_NO!$H$33</f>
        <v>0</v>
      </c>
      <c r="M9" s="374">
        <f>[11]STA_SP1_NO!$H$33</f>
        <v>0</v>
      </c>
      <c r="N9" s="369">
        <f t="shared" si="0"/>
        <v>0</v>
      </c>
    </row>
    <row r="10" spans="1:14" x14ac:dyDescent="0.25">
      <c r="A10" s="32">
        <v>7</v>
      </c>
      <c r="B10" s="352" t="s">
        <v>17</v>
      </c>
      <c r="C10" s="370">
        <f>[1]STA_SP1_NO!$H$36</f>
        <v>6</v>
      </c>
      <c r="D10" s="54">
        <f>[2]STA_SP1_NO!$H$36</f>
        <v>2</v>
      </c>
      <c r="E10" s="370">
        <f>[3]STA_SP1_NO!$H$36</f>
        <v>1</v>
      </c>
      <c r="F10" s="54">
        <f>[4]STA_SP1_NO!$H$36</f>
        <v>0</v>
      </c>
      <c r="G10" s="62">
        <f>[5]STA_SP1_NO!$H$36</f>
        <v>2</v>
      </c>
      <c r="H10" s="371">
        <f>[6]STA_SP1_NO!$H$36</f>
        <v>0</v>
      </c>
      <c r="I10" s="62">
        <f>[7]STA_SP1_NO!$H$36</f>
        <v>1</v>
      </c>
      <c r="J10" s="54">
        <f>[8]STA_SP1_NO!$H$36</f>
        <v>0</v>
      </c>
      <c r="K10" s="62">
        <f>[9]STA_SP1_NO!$H$36</f>
        <v>1</v>
      </c>
      <c r="L10" s="54">
        <f>[10]STA_SP1_NO!$H$36</f>
        <v>0</v>
      </c>
      <c r="M10" s="374">
        <f>[11]STA_SP1_NO!$H$36</f>
        <v>0</v>
      </c>
      <c r="N10" s="369">
        <f t="shared" si="0"/>
        <v>13</v>
      </c>
    </row>
    <row r="11" spans="1:14" x14ac:dyDescent="0.25">
      <c r="A11" s="32">
        <v>8</v>
      </c>
      <c r="B11" s="352" t="s">
        <v>18</v>
      </c>
      <c r="C11" s="370">
        <f>[1]STA_SP1_NO!$H$40</f>
        <v>28</v>
      </c>
      <c r="D11" s="54">
        <f>[2]STA_SP1_NO!$H$40</f>
        <v>36</v>
      </c>
      <c r="E11" s="370">
        <f>[3]STA_SP1_NO!$H$40</f>
        <v>4</v>
      </c>
      <c r="F11" s="54">
        <f>[4]STA_SP1_NO!$H$40</f>
        <v>48</v>
      </c>
      <c r="G11" s="62">
        <f>[5]STA_SP1_NO!$H$40</f>
        <v>54</v>
      </c>
      <c r="H11" s="371">
        <f>[6]STA_SP1_NO!$H$40</f>
        <v>15</v>
      </c>
      <c r="I11" s="62">
        <f>[7]STA_SP1_NO!$H$40</f>
        <v>12</v>
      </c>
      <c r="J11" s="54">
        <f>[8]STA_SP1_NO!$H$40</f>
        <v>42</v>
      </c>
      <c r="K11" s="62">
        <f>[9]STA_SP1_NO!$H$40</f>
        <v>19</v>
      </c>
      <c r="L11" s="54">
        <f>[10]STA_SP1_NO!$H$40</f>
        <v>19</v>
      </c>
      <c r="M11" s="374">
        <f>[11]STA_SP1_NO!$H$40</f>
        <v>0</v>
      </c>
      <c r="N11" s="369">
        <f t="shared" si="0"/>
        <v>277</v>
      </c>
    </row>
    <row r="12" spans="1:14" x14ac:dyDescent="0.25">
      <c r="A12" s="32">
        <v>9</v>
      </c>
      <c r="B12" s="352" t="s">
        <v>19</v>
      </c>
      <c r="C12" s="370">
        <f>[1]STA_SP1_NO!$H$56</f>
        <v>230</v>
      </c>
      <c r="D12" s="54">
        <f>[2]STA_SP1_NO!$H$56</f>
        <v>139</v>
      </c>
      <c r="E12" s="370">
        <f>[3]STA_SP1_NO!$H$56</f>
        <v>56</v>
      </c>
      <c r="F12" s="54">
        <f>[4]STA_SP1_NO!$H$56</f>
        <v>175</v>
      </c>
      <c r="G12" s="62">
        <f>[5]STA_SP1_NO!$H$56</f>
        <v>36</v>
      </c>
      <c r="H12" s="371">
        <f>[6]STA_SP1_NO!$H$56</f>
        <v>15</v>
      </c>
      <c r="I12" s="62">
        <f>[7]STA_SP1_NO!$H$56</f>
        <v>51</v>
      </c>
      <c r="J12" s="54">
        <f>[8]STA_SP1_NO!$H$56</f>
        <v>47</v>
      </c>
      <c r="K12" s="62">
        <f>[9]STA_SP1_NO!$H$56</f>
        <v>23</v>
      </c>
      <c r="L12" s="54">
        <f>[10]STA_SP1_NO!$H$56</f>
        <v>63</v>
      </c>
      <c r="M12" s="374">
        <f>[11]STA_SP1_NO!$H$56</f>
        <v>0</v>
      </c>
      <c r="N12" s="369">
        <f t="shared" si="0"/>
        <v>835</v>
      </c>
    </row>
    <row r="13" spans="1:14" x14ac:dyDescent="0.25">
      <c r="A13" s="32">
        <v>10</v>
      </c>
      <c r="B13" s="352" t="s">
        <v>20</v>
      </c>
      <c r="C13" s="370">
        <f>[1]STA_SP1_NO!$H$88</f>
        <v>1880</v>
      </c>
      <c r="D13" s="54">
        <f>[2]STA_SP1_NO!$H$88</f>
        <v>1053</v>
      </c>
      <c r="E13" s="370">
        <f>[3]STA_SP1_NO!$H$88</f>
        <v>683</v>
      </c>
      <c r="F13" s="54">
        <f>[4]STA_SP1_NO!$H$88</f>
        <v>924</v>
      </c>
      <c r="G13" s="62">
        <f>[5]STA_SP1_NO!$H$88</f>
        <v>1621</v>
      </c>
      <c r="H13" s="371">
        <f>[6]STA_SP1_NO!$H$88</f>
        <v>2478</v>
      </c>
      <c r="I13" s="62">
        <f>[7]STA_SP1_NO!$H$88</f>
        <v>1398</v>
      </c>
      <c r="J13" s="54">
        <f>[8]STA_SP1_NO!$H$88</f>
        <v>955</v>
      </c>
      <c r="K13" s="62">
        <f>[9]STA_SP1_NO!$H$88</f>
        <v>646</v>
      </c>
      <c r="L13" s="54">
        <f>[10]STA_SP1_NO!$H$88</f>
        <v>1269</v>
      </c>
      <c r="M13" s="374">
        <f>[11]STA_SP1_NO!$H$88</f>
        <v>114</v>
      </c>
      <c r="N13" s="369">
        <f t="shared" si="0"/>
        <v>13021</v>
      </c>
    </row>
    <row r="14" spans="1:14" x14ac:dyDescent="0.25">
      <c r="A14" s="32">
        <v>11</v>
      </c>
      <c r="B14" s="352" t="s">
        <v>21</v>
      </c>
      <c r="C14" s="370">
        <f>[1]STA_SP1_NO!$H$124</f>
        <v>0</v>
      </c>
      <c r="D14" s="54">
        <f>[2]STA_SP1_NO!$H$124</f>
        <v>0</v>
      </c>
      <c r="E14" s="370">
        <f>[3]STA_SP1_NO!$H$124</f>
        <v>0</v>
      </c>
      <c r="F14" s="54">
        <f>[4]STA_SP1_NO!$H$124</f>
        <v>0</v>
      </c>
      <c r="G14" s="62">
        <f>[5]STA_SP1_NO!$H$124</f>
        <v>0</v>
      </c>
      <c r="H14" s="371">
        <f>[6]STA_SP1_NO!$H$124</f>
        <v>0</v>
      </c>
      <c r="I14" s="62">
        <f>[7]STA_SP1_NO!$H$124</f>
        <v>0</v>
      </c>
      <c r="J14" s="54">
        <f>[8]STA_SP1_NO!$H$124</f>
        <v>0</v>
      </c>
      <c r="K14" s="62">
        <f>[9]STA_SP1_NO!$H$124</f>
        <v>0</v>
      </c>
      <c r="L14" s="54">
        <f>[10]STA_SP1_NO!$H$124</f>
        <v>0</v>
      </c>
      <c r="M14" s="374">
        <f>[11]STA_SP1_NO!$H$124</f>
        <v>0</v>
      </c>
      <c r="N14" s="369">
        <f t="shared" si="0"/>
        <v>0</v>
      </c>
    </row>
    <row r="15" spans="1:14" x14ac:dyDescent="0.25">
      <c r="A15" s="32">
        <v>12</v>
      </c>
      <c r="B15" s="352" t="s">
        <v>22</v>
      </c>
      <c r="C15" s="370">
        <f>[1]STA_SP1_NO!$H$128</f>
        <v>0</v>
      </c>
      <c r="D15" s="54">
        <f>[2]STA_SP1_NO!$H$128</f>
        <v>6</v>
      </c>
      <c r="E15" s="370">
        <f>[3]STA_SP1_NO!$H$128</f>
        <v>0</v>
      </c>
      <c r="F15" s="54">
        <f>[4]STA_SP1_NO!$H$128</f>
        <v>1</v>
      </c>
      <c r="G15" s="62">
        <f>[5]STA_SP1_NO!$H$128</f>
        <v>0</v>
      </c>
      <c r="H15" s="371">
        <f>[6]STA_SP1_NO!$H$128</f>
        <v>0</v>
      </c>
      <c r="I15" s="62">
        <f>[7]STA_SP1_NO!$H$128</f>
        <v>0</v>
      </c>
      <c r="J15" s="54">
        <f>[8]STA_SP1_NO!$H$128</f>
        <v>0</v>
      </c>
      <c r="K15" s="62">
        <f>[9]STA_SP1_NO!$H$128</f>
        <v>0</v>
      </c>
      <c r="L15" s="54">
        <f>[10]STA_SP1_NO!$H$128</f>
        <v>0</v>
      </c>
      <c r="M15" s="374">
        <f>[11]STA_SP1_NO!$H$128</f>
        <v>0</v>
      </c>
      <c r="N15" s="369">
        <f t="shared" si="0"/>
        <v>7</v>
      </c>
    </row>
    <row r="16" spans="1:14" x14ac:dyDescent="0.25">
      <c r="A16" s="32">
        <v>13</v>
      </c>
      <c r="B16" s="352" t="s">
        <v>23</v>
      </c>
      <c r="C16" s="370">
        <f>[1]STA_SP1_NO!$H$132</f>
        <v>79</v>
      </c>
      <c r="D16" s="54">
        <f>[2]STA_SP1_NO!$H$132</f>
        <v>13</v>
      </c>
      <c r="E16" s="370">
        <f>[3]STA_SP1_NO!$H$132</f>
        <v>26</v>
      </c>
      <c r="F16" s="54">
        <f>[4]STA_SP1_NO!$H$132</f>
        <v>27</v>
      </c>
      <c r="G16" s="62">
        <f>[5]STA_SP1_NO!$H$132</f>
        <v>27</v>
      </c>
      <c r="H16" s="371">
        <f>[6]STA_SP1_NO!$H$132</f>
        <v>4</v>
      </c>
      <c r="I16" s="62">
        <f>[7]STA_SP1_NO!$H$132</f>
        <v>38</v>
      </c>
      <c r="J16" s="54">
        <f>[8]STA_SP1_NO!$H$132</f>
        <v>33</v>
      </c>
      <c r="K16" s="62">
        <f>[9]STA_SP1_NO!$H$132</f>
        <v>7</v>
      </c>
      <c r="L16" s="54">
        <f>[10]STA_SP1_NO!$H$132</f>
        <v>3</v>
      </c>
      <c r="M16" s="374">
        <f>[11]STA_SP1_NO!$H$132</f>
        <v>0</v>
      </c>
      <c r="N16" s="369">
        <f t="shared" si="0"/>
        <v>257</v>
      </c>
    </row>
    <row r="17" spans="1:14" x14ac:dyDescent="0.25">
      <c r="A17" s="32">
        <v>14</v>
      </c>
      <c r="B17" s="352" t="s">
        <v>24</v>
      </c>
      <c r="C17" s="370">
        <f>[1]STA_SP1_NO!$H$153</f>
        <v>1</v>
      </c>
      <c r="D17" s="54">
        <f>[2]STA_SP1_NO!$H$153</f>
        <v>20</v>
      </c>
      <c r="E17" s="370">
        <f>[3]STA_SP1_NO!$H$153</f>
        <v>0</v>
      </c>
      <c r="F17" s="54">
        <f>[4]STA_SP1_NO!$H$153</f>
        <v>0</v>
      </c>
      <c r="G17" s="62">
        <f>[5]STA_SP1_NO!$H$153</f>
        <v>0</v>
      </c>
      <c r="H17" s="371">
        <f>[6]STA_SP1_NO!$H$153</f>
        <v>0</v>
      </c>
      <c r="I17" s="62">
        <f>[7]STA_SP1_NO!$H$153</f>
        <v>0</v>
      </c>
      <c r="J17" s="54">
        <f>[8]STA_SP1_NO!$H$153</f>
        <v>0</v>
      </c>
      <c r="K17" s="62">
        <f>[9]STA_SP1_NO!$H$153</f>
        <v>7</v>
      </c>
      <c r="L17" s="54">
        <f>[10]STA_SP1_NO!$H$153</f>
        <v>3</v>
      </c>
      <c r="M17" s="374">
        <f>[11]STA_SP1_NO!$H$153</f>
        <v>0</v>
      </c>
      <c r="N17" s="369">
        <f t="shared" si="0"/>
        <v>31</v>
      </c>
    </row>
    <row r="18" spans="1:14" x14ac:dyDescent="0.25">
      <c r="A18" s="32">
        <v>15</v>
      </c>
      <c r="B18" s="352" t="s">
        <v>25</v>
      </c>
      <c r="C18" s="370">
        <f>[1]STA_SP1_NO!$H$158</f>
        <v>0</v>
      </c>
      <c r="D18" s="54">
        <f>[2]STA_SP1_NO!$H$158</f>
        <v>0</v>
      </c>
      <c r="E18" s="370">
        <f>[3]STA_SP1_NO!$H$158</f>
        <v>0</v>
      </c>
      <c r="F18" s="54">
        <f>[4]STA_SP1_NO!$H$158</f>
        <v>0</v>
      </c>
      <c r="G18" s="62">
        <f>[5]STA_SP1_NO!$H$158</f>
        <v>0</v>
      </c>
      <c r="H18" s="371">
        <f>[6]STA_SP1_NO!$H$158</f>
        <v>0</v>
      </c>
      <c r="I18" s="62">
        <f>[7]STA_SP1_NO!$H$158</f>
        <v>0</v>
      </c>
      <c r="J18" s="54">
        <f>[8]STA_SP1_NO!$H$158</f>
        <v>0</v>
      </c>
      <c r="K18" s="62">
        <f>[9]STA_SP1_NO!$H$158</f>
        <v>0</v>
      </c>
      <c r="L18" s="54">
        <f>[10]STA_SP1_NO!$H$158</f>
        <v>0</v>
      </c>
      <c r="M18" s="374">
        <f>[11]STA_SP1_NO!$H$158</f>
        <v>0</v>
      </c>
      <c r="N18" s="369">
        <f t="shared" si="0"/>
        <v>0</v>
      </c>
    </row>
    <row r="19" spans="1:14" x14ac:dyDescent="0.25">
      <c r="A19" s="32">
        <v>16</v>
      </c>
      <c r="B19" s="352" t="s">
        <v>26</v>
      </c>
      <c r="C19" s="370">
        <f>[1]STA_SP1_NO!$H$161</f>
        <v>3</v>
      </c>
      <c r="D19" s="54">
        <f>[2]STA_SP1_NO!$H$161</f>
        <v>0</v>
      </c>
      <c r="E19" s="370">
        <f>[3]STA_SP1_NO!$H$161</f>
        <v>0</v>
      </c>
      <c r="F19" s="54">
        <f>[4]STA_SP1_NO!$H$161</f>
        <v>6</v>
      </c>
      <c r="G19" s="62">
        <f>[5]STA_SP1_NO!$H$161</f>
        <v>0</v>
      </c>
      <c r="H19" s="371">
        <f>[6]STA_SP1_NO!$H$161</f>
        <v>0</v>
      </c>
      <c r="I19" s="62">
        <f>[7]STA_SP1_NO!$H$161</f>
        <v>4</v>
      </c>
      <c r="J19" s="54">
        <f>[8]STA_SP1_NO!$H$161</f>
        <v>0</v>
      </c>
      <c r="K19" s="62">
        <f>[9]STA_SP1_NO!$H$161</f>
        <v>1</v>
      </c>
      <c r="L19" s="54">
        <f>[10]STA_SP1_NO!$H$161</f>
        <v>1</v>
      </c>
      <c r="M19" s="374">
        <f>[11]STA_SP1_NO!$H$161</f>
        <v>0</v>
      </c>
      <c r="N19" s="369">
        <f t="shared" si="0"/>
        <v>15</v>
      </c>
    </row>
    <row r="20" spans="1:14" x14ac:dyDescent="0.25">
      <c r="A20" s="32">
        <v>17</v>
      </c>
      <c r="B20" s="352" t="s">
        <v>27</v>
      </c>
      <c r="C20" s="370">
        <f>[1]STA_SP1_NO!$H$167</f>
        <v>0</v>
      </c>
      <c r="D20" s="54">
        <f>[2]STA_SP1_NO!$H$167</f>
        <v>0</v>
      </c>
      <c r="E20" s="370">
        <f>[3]STA_SP1_NO!$H$167</f>
        <v>0</v>
      </c>
      <c r="F20" s="54">
        <f>[4]STA_SP1_NO!$H$167</f>
        <v>0</v>
      </c>
      <c r="G20" s="62">
        <f>[5]STA_SP1_NO!$H$167</f>
        <v>0</v>
      </c>
      <c r="H20" s="371">
        <f>[6]STA_SP1_NO!$H$167</f>
        <v>0</v>
      </c>
      <c r="I20" s="62">
        <f>[7]STA_SP1_NO!$H$167</f>
        <v>0</v>
      </c>
      <c r="J20" s="54">
        <f>[8]STA_SP1_NO!$H$167</f>
        <v>0</v>
      </c>
      <c r="K20" s="62">
        <f>[9]STA_SP1_NO!$H$167</f>
        <v>0</v>
      </c>
      <c r="L20" s="54">
        <f>[10]STA_SP1_NO!$H$167</f>
        <v>0</v>
      </c>
      <c r="M20" s="374">
        <f>[11]STA_SP1_NO!$H$167</f>
        <v>0</v>
      </c>
      <c r="N20" s="369">
        <f t="shared" si="0"/>
        <v>0</v>
      </c>
    </row>
    <row r="21" spans="1:14" ht="15.75" thickBot="1" x14ac:dyDescent="0.3">
      <c r="A21" s="34">
        <v>18</v>
      </c>
      <c r="B21" s="353" t="s">
        <v>28</v>
      </c>
      <c r="C21" s="370">
        <f>[1]STA_SP1_NO!$H$170</f>
        <v>93</v>
      </c>
      <c r="D21" s="54">
        <f>[2]STA_SP1_NO!$H$170</f>
        <v>183</v>
      </c>
      <c r="E21" s="370">
        <f>[3]STA_SP1_NO!$H$170</f>
        <v>71</v>
      </c>
      <c r="F21" s="54">
        <f>[4]STA_SP1_NO!$H$170</f>
        <v>210</v>
      </c>
      <c r="G21" s="62">
        <f>[5]STA_SP1_NO!$H$170</f>
        <v>103</v>
      </c>
      <c r="H21" s="371">
        <f>[6]STA_SP1_NO!$H$170</f>
        <v>71</v>
      </c>
      <c r="I21" s="62">
        <f>[7]STA_SP1_NO!$H$170</f>
        <v>70</v>
      </c>
      <c r="J21" s="54">
        <f>[8]STA_SP1_NO!$H$170</f>
        <v>123</v>
      </c>
      <c r="K21" s="62">
        <f>[9]STA_SP1_NO!$H$170</f>
        <v>63</v>
      </c>
      <c r="L21" s="54">
        <f>[10]STA_SP1_NO!$H$170</f>
        <v>158</v>
      </c>
      <c r="M21" s="374">
        <f>[11]STA_SP1_NO!$H$170</f>
        <v>0</v>
      </c>
      <c r="N21" s="369">
        <f t="shared" si="0"/>
        <v>1145</v>
      </c>
    </row>
    <row r="22" spans="1:14" ht="15.75" thickBot="1" x14ac:dyDescent="0.3">
      <c r="A22" s="36"/>
      <c r="B22" s="366" t="s">
        <v>36</v>
      </c>
      <c r="C22" s="359">
        <f t="shared" ref="C22:F22" si="1">SUM(C4:C21)</f>
        <v>3001</v>
      </c>
      <c r="D22" s="362">
        <f t="shared" si="1"/>
        <v>2782</v>
      </c>
      <c r="E22" s="361">
        <f>SUM(E4:E21)</f>
        <v>1134</v>
      </c>
      <c r="F22" s="362">
        <f t="shared" si="1"/>
        <v>2421</v>
      </c>
      <c r="G22" s="350">
        <f t="shared" ref="G22:M22" si="2">SUM(G4:G21)</f>
        <v>3368</v>
      </c>
      <c r="H22" s="362">
        <f t="shared" si="2"/>
        <v>2822</v>
      </c>
      <c r="I22" s="350">
        <f t="shared" si="2"/>
        <v>1953</v>
      </c>
      <c r="J22" s="363">
        <f t="shared" si="2"/>
        <v>1432</v>
      </c>
      <c r="K22" s="350">
        <f t="shared" si="2"/>
        <v>1276</v>
      </c>
      <c r="L22" s="362">
        <f t="shared" si="2"/>
        <v>2996</v>
      </c>
      <c r="M22" s="364">
        <f t="shared" si="2"/>
        <v>127</v>
      </c>
      <c r="N22" s="365">
        <f t="shared" si="0"/>
        <v>23312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"/>
      <c r="I23" s="341"/>
      <c r="J23" s="1"/>
      <c r="K23" s="341"/>
      <c r="L23" s="1"/>
      <c r="M23" s="341"/>
      <c r="N23" s="1"/>
    </row>
    <row r="24" spans="1:14" ht="15.75" thickBot="1" x14ac:dyDescent="0.3">
      <c r="A24" s="457" t="s">
        <v>30</v>
      </c>
      <c r="B24" s="458"/>
      <c r="C24" s="48">
        <f>C22/N22</f>
        <v>0.12873198352779686</v>
      </c>
      <c r="D24" s="47">
        <f>D22/N22</f>
        <v>0.11933768016472203</v>
      </c>
      <c r="E24" s="48">
        <f>E22/N22</f>
        <v>4.8644474948524363E-2</v>
      </c>
      <c r="F24" s="47">
        <f>F22/N22</f>
        <v>0.10385209334248456</v>
      </c>
      <c r="G24" s="48">
        <f>G22/N22</f>
        <v>0.14447494852436513</v>
      </c>
      <c r="H24" s="47">
        <f>H22/N22</f>
        <v>0.12105353466026081</v>
      </c>
      <c r="I24" s="48">
        <f>I22/N22</f>
        <v>8.3776595744680854E-2</v>
      </c>
      <c r="J24" s="47">
        <f>J22/N22</f>
        <v>6.1427590940288261E-2</v>
      </c>
      <c r="K24" s="48">
        <f>K22/N22</f>
        <v>5.4735758407687025E-2</v>
      </c>
      <c r="L24" s="47">
        <f>L22/N22</f>
        <v>0.12851750171585449</v>
      </c>
      <c r="M24" s="342">
        <f>M22/N22</f>
        <v>5.4478380233356207E-3</v>
      </c>
      <c r="N24" s="257">
        <f>SUM(C24:M24)</f>
        <v>1.0000000000000002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36" t="s">
        <v>0</v>
      </c>
      <c r="B26" s="438" t="s">
        <v>1</v>
      </c>
      <c r="C26" s="483" t="s">
        <v>89</v>
      </c>
      <c r="D26" s="484"/>
      <c r="E26" s="484"/>
      <c r="F26" s="484"/>
      <c r="G26" s="484"/>
      <c r="H26" s="485"/>
      <c r="I26" s="481" t="s">
        <v>3</v>
      </c>
      <c r="J26" s="1"/>
      <c r="K26" s="1"/>
      <c r="L26" s="1"/>
      <c r="M26" s="1"/>
      <c r="N26" s="1"/>
    </row>
    <row r="27" spans="1:14" ht="23.25" thickBot="1" x14ac:dyDescent="0.3">
      <c r="A27" s="437"/>
      <c r="B27" s="440"/>
      <c r="C27" s="168" t="s">
        <v>10</v>
      </c>
      <c r="D27" s="127" t="s">
        <v>31</v>
      </c>
      <c r="E27" s="168" t="s">
        <v>7</v>
      </c>
      <c r="F27" s="127" t="s">
        <v>96</v>
      </c>
      <c r="G27" s="166" t="s">
        <v>4</v>
      </c>
      <c r="H27" s="253" t="s">
        <v>94</v>
      </c>
      <c r="I27" s="493"/>
      <c r="J27" s="81"/>
      <c r="K27" s="467" t="s">
        <v>32</v>
      </c>
      <c r="L27" s="468"/>
      <c r="M27" s="232">
        <f>N22</f>
        <v>23312</v>
      </c>
      <c r="N27" s="233">
        <f>M27/M29</f>
        <v>0.97133333333333338</v>
      </c>
    </row>
    <row r="28" spans="1:14" ht="15.75" thickBot="1" x14ac:dyDescent="0.3">
      <c r="A28" s="22">
        <v>19</v>
      </c>
      <c r="B28" s="128" t="s">
        <v>33</v>
      </c>
      <c r="C28" s="165">
        <f>[12]STA_SP2_ZO!$G$51+[12]STA_SP2_ZO!$H$51</f>
        <v>325</v>
      </c>
      <c r="D28" s="50">
        <f>[13]STA_SP2_ZO!$G$51+[13]STA_SP2_ZO!$H$51</f>
        <v>255</v>
      </c>
      <c r="E28" s="165">
        <f>[14]STA_SP2_ZO!$G$51+[14]STA_SP2_ZO!$H$51</f>
        <v>33</v>
      </c>
      <c r="F28" s="50">
        <f>[15]STA_SP2_ZO!$G$51+[15]STA_SP2_ZO!$H$51</f>
        <v>54</v>
      </c>
      <c r="G28" s="115">
        <f>[16]STA_SP2_ZO!$G$51+[16]STA_SP2_ZO!$H$51</f>
        <v>18</v>
      </c>
      <c r="H28" s="50">
        <f>[17]STA_SP2_ZO!$G$51+[17]STA_SP2_ZO!$H$51</f>
        <v>3</v>
      </c>
      <c r="I28" s="244">
        <f>SUM(C28:H28)</f>
        <v>688</v>
      </c>
      <c r="J28" s="81"/>
      <c r="K28" s="459" t="s">
        <v>33</v>
      </c>
      <c r="L28" s="460"/>
      <c r="M28" s="234">
        <f>I28</f>
        <v>688</v>
      </c>
      <c r="N28" s="235">
        <f>M28/M29</f>
        <v>2.8666666666666667E-2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61" t="s">
        <v>3</v>
      </c>
      <c r="L29" s="462"/>
      <c r="M29" s="236">
        <f>M27+M28</f>
        <v>24000</v>
      </c>
      <c r="N29" s="237">
        <f>M29/M29</f>
        <v>1</v>
      </c>
    </row>
    <row r="30" spans="1:14" ht="15.75" thickBot="1" x14ac:dyDescent="0.3">
      <c r="A30" s="428" t="s">
        <v>34</v>
      </c>
      <c r="B30" s="429"/>
      <c r="C30" s="23">
        <f>C28/I28</f>
        <v>0.47238372093023256</v>
      </c>
      <c r="D30" s="82">
        <f>D28/I28</f>
        <v>0.37063953488372092</v>
      </c>
      <c r="E30" s="23">
        <f>E28/I28</f>
        <v>4.7965116279069769E-2</v>
      </c>
      <c r="F30" s="82">
        <f>F28/I28</f>
        <v>7.8488372093023256E-2</v>
      </c>
      <c r="G30" s="23">
        <f>G28/I28</f>
        <v>2.616279069767442E-2</v>
      </c>
      <c r="H30" s="82">
        <f>H28/I28</f>
        <v>4.3604651162790697E-3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N2:N3"/>
    <mergeCell ref="A24:B24"/>
    <mergeCell ref="C1:I1"/>
    <mergeCell ref="A2:A3"/>
    <mergeCell ref="B2:B3"/>
    <mergeCell ref="C2:M2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G34" sqref="G34"/>
    </sheetView>
  </sheetViews>
  <sheetFormatPr defaultRowHeight="15" x14ac:dyDescent="0.25"/>
  <cols>
    <col min="1" max="1" width="4.7109375" customWidth="1"/>
    <col min="2" max="2" width="27.85546875" customWidth="1"/>
    <col min="8" max="8" width="9.85546875" customWidth="1"/>
    <col min="11" max="11" width="9.140625" customWidth="1"/>
  </cols>
  <sheetData>
    <row r="1" spans="1:14" ht="27.75" customHeight="1" thickBot="1" x14ac:dyDescent="0.3">
      <c r="A1" s="26"/>
      <c r="B1" s="26"/>
      <c r="C1" s="469" t="s">
        <v>102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155" t="s">
        <v>35</v>
      </c>
    </row>
    <row r="2" spans="1:14" ht="15.75" thickBot="1" x14ac:dyDescent="0.3">
      <c r="A2" s="472" t="s">
        <v>0</v>
      </c>
      <c r="B2" s="474" t="s">
        <v>1</v>
      </c>
      <c r="C2" s="494" t="s">
        <v>2</v>
      </c>
      <c r="D2" s="495"/>
      <c r="E2" s="495"/>
      <c r="F2" s="495"/>
      <c r="G2" s="495"/>
      <c r="H2" s="495"/>
      <c r="I2" s="495"/>
      <c r="J2" s="495"/>
      <c r="K2" s="495"/>
      <c r="L2" s="495"/>
      <c r="M2" s="496"/>
      <c r="N2" s="476" t="s">
        <v>3</v>
      </c>
    </row>
    <row r="3" spans="1:14" ht="15.75" thickBot="1" x14ac:dyDescent="0.3">
      <c r="A3" s="473"/>
      <c r="B3" s="490"/>
      <c r="C3" s="354" t="s">
        <v>68</v>
      </c>
      <c r="D3" s="375" t="s">
        <v>4</v>
      </c>
      <c r="E3" s="357" t="s">
        <v>5</v>
      </c>
      <c r="F3" s="307" t="s">
        <v>6</v>
      </c>
      <c r="G3" s="367" t="s">
        <v>8</v>
      </c>
      <c r="H3" s="356" t="s">
        <v>93</v>
      </c>
      <c r="I3" s="415" t="s">
        <v>96</v>
      </c>
      <c r="J3" s="372" t="s">
        <v>37</v>
      </c>
      <c r="K3" s="358" t="s">
        <v>92</v>
      </c>
      <c r="L3" s="307" t="s">
        <v>10</v>
      </c>
      <c r="M3" s="373" t="s">
        <v>95</v>
      </c>
      <c r="N3" s="477"/>
    </row>
    <row r="4" spans="1:14" x14ac:dyDescent="0.25">
      <c r="A4" s="30">
        <v>1</v>
      </c>
      <c r="B4" s="351" t="s">
        <v>11</v>
      </c>
      <c r="C4" s="62">
        <f>[1]STA_SP1_NO!$I$10</f>
        <v>12903.23</v>
      </c>
      <c r="D4" s="368">
        <f>[2]STA_SP1_NO!$I$10</f>
        <v>15121.37</v>
      </c>
      <c r="E4" s="62">
        <f>[3]STA_SP1_NO!$I$10</f>
        <v>3042</v>
      </c>
      <c r="F4" s="54">
        <f>[4]STA_SP1_NO!$I$10</f>
        <v>3458.62</v>
      </c>
      <c r="G4" s="259">
        <f>[5]STA_SP1_NO!$I$10</f>
        <v>10727.52</v>
      </c>
      <c r="H4" s="371">
        <f>[6]STA_SP1_NO!$I$10</f>
        <v>2355.46</v>
      </c>
      <c r="I4" s="62">
        <f>[7]STA_SP1_NO!$I$10</f>
        <v>1748</v>
      </c>
      <c r="J4" s="54">
        <f>[8]STA_SP1_NO!$I$10</f>
        <v>1492</v>
      </c>
      <c r="K4" s="62">
        <f>[9]STA_SP1_NO!$I$10</f>
        <v>7769.84</v>
      </c>
      <c r="L4" s="54">
        <f>[10]STA_SP1_NO!$I$10</f>
        <v>8677</v>
      </c>
      <c r="M4" s="374">
        <f>[11]STA_SP1_NO!$I$10</f>
        <v>123</v>
      </c>
      <c r="N4" s="249">
        <f t="shared" ref="N4:N21" si="0">SUM(C4:M4)</f>
        <v>67418.040000000008</v>
      </c>
    </row>
    <row r="5" spans="1:14" x14ac:dyDescent="0.25">
      <c r="A5" s="32">
        <v>2</v>
      </c>
      <c r="B5" s="352" t="s">
        <v>12</v>
      </c>
      <c r="C5" s="62">
        <f>[1]STA_SP1_NO!$I$20</f>
        <v>3266.45</v>
      </c>
      <c r="D5" s="368">
        <f>[2]STA_SP1_NO!$I$20</f>
        <v>17198.66</v>
      </c>
      <c r="E5" s="62">
        <f>[3]STA_SP1_NO!$I$20</f>
        <v>2295</v>
      </c>
      <c r="F5" s="54">
        <f>[4]STA_SP1_NO!$I$20</f>
        <v>7712.54</v>
      </c>
      <c r="G5" s="259">
        <f>[5]STA_SP1_NO!$I$20</f>
        <v>22400.23</v>
      </c>
      <c r="H5" s="371">
        <f>[6]STA_SP1_NO!$I$20</f>
        <v>0</v>
      </c>
      <c r="I5" s="62">
        <f>[7]STA_SP1_NO!$I$20</f>
        <v>2634</v>
      </c>
      <c r="J5" s="54">
        <f>[8]STA_SP1_NO!$I$20</f>
        <v>0</v>
      </c>
      <c r="K5" s="62">
        <f>[9]STA_SP1_NO!$I$20</f>
        <v>3974.91</v>
      </c>
      <c r="L5" s="54">
        <f>[10]STA_SP1_NO!$I$20</f>
        <v>14125</v>
      </c>
      <c r="M5" s="374">
        <f>[11]STA_SP1_NO!$I$20</f>
        <v>0</v>
      </c>
      <c r="N5" s="249">
        <f t="shared" si="0"/>
        <v>73606.790000000008</v>
      </c>
    </row>
    <row r="6" spans="1:14" x14ac:dyDescent="0.25">
      <c r="A6" s="32">
        <v>3</v>
      </c>
      <c r="B6" s="352" t="s">
        <v>13</v>
      </c>
      <c r="C6" s="62">
        <f>[1]STA_SP1_NO!$I$24</f>
        <v>35808.480000000003</v>
      </c>
      <c r="D6" s="368">
        <f>[2]STA_SP1_NO!$I$24</f>
        <v>38751.69</v>
      </c>
      <c r="E6" s="62">
        <f>[3]STA_SP1_NO!$I$24</f>
        <v>16591</v>
      </c>
      <c r="F6" s="54">
        <f>[4]STA_SP1_NO!$I$24</f>
        <v>45796.13</v>
      </c>
      <c r="G6" s="259">
        <f>[5]STA_SP1_NO!$I$24</f>
        <v>32937.15</v>
      </c>
      <c r="H6" s="371">
        <f>[6]STA_SP1_NO!$I$24</f>
        <v>9439.2099999999991</v>
      </c>
      <c r="I6" s="62">
        <f>[7]STA_SP1_NO!$I$24</f>
        <v>9376</v>
      </c>
      <c r="J6" s="54">
        <f>[8]STA_SP1_NO!$I$24</f>
        <v>21486</v>
      </c>
      <c r="K6" s="62">
        <f>[9]STA_SP1_NO!$I$24</f>
        <v>29153.34</v>
      </c>
      <c r="L6" s="54">
        <f>[10]STA_SP1_NO!$I$24</f>
        <v>28037</v>
      </c>
      <c r="M6" s="374">
        <f>[11]STA_SP1_NO!$I$24</f>
        <v>680</v>
      </c>
      <c r="N6" s="249">
        <f t="shared" si="0"/>
        <v>268056</v>
      </c>
    </row>
    <row r="7" spans="1:14" x14ac:dyDescent="0.25">
      <c r="A7" s="32">
        <v>4</v>
      </c>
      <c r="B7" s="352" t="s">
        <v>14</v>
      </c>
      <c r="C7" s="62">
        <f>[1]STA_SP1_NO!$I$27</f>
        <v>0</v>
      </c>
      <c r="D7" s="368">
        <f>[2]STA_SP1_NO!$I$27</f>
        <v>0</v>
      </c>
      <c r="E7" s="62">
        <f>[3]STA_SP1_NO!$I$27</f>
        <v>0</v>
      </c>
      <c r="F7" s="54">
        <f>[4]STA_SP1_NO!$I$27</f>
        <v>0</v>
      </c>
      <c r="G7" s="259">
        <f>[5]STA_SP1_NO!$I$27</f>
        <v>0</v>
      </c>
      <c r="H7" s="371">
        <f>[6]STA_SP1_NO!$I$27</f>
        <v>0</v>
      </c>
      <c r="I7" s="62">
        <f>[7]STA_SP1_NO!$I$27</f>
        <v>0</v>
      </c>
      <c r="J7" s="54">
        <f>[8]STA_SP1_NO!$I$27</f>
        <v>0</v>
      </c>
      <c r="K7" s="62">
        <f>[9]STA_SP1_NO!$I$27</f>
        <v>0</v>
      </c>
      <c r="L7" s="54">
        <f>[10]STA_SP1_NO!$I$27</f>
        <v>0</v>
      </c>
      <c r="M7" s="374">
        <f>[11]STA_SP1_NO!$I$27</f>
        <v>0</v>
      </c>
      <c r="N7" s="249">
        <f t="shared" si="0"/>
        <v>0</v>
      </c>
    </row>
    <row r="8" spans="1:14" x14ac:dyDescent="0.25">
      <c r="A8" s="32">
        <v>5</v>
      </c>
      <c r="B8" s="352" t="s">
        <v>15</v>
      </c>
      <c r="C8" s="62">
        <f>[1]STA_SP1_NO!$I$30</f>
        <v>0</v>
      </c>
      <c r="D8" s="368">
        <f>[2]STA_SP1_NO!$I$30</f>
        <v>480256.06</v>
      </c>
      <c r="E8" s="62">
        <f>[3]STA_SP1_NO!$I$30</f>
        <v>0</v>
      </c>
      <c r="F8" s="54">
        <f>[4]STA_SP1_NO!$I$30</f>
        <v>0</v>
      </c>
      <c r="G8" s="259">
        <f>[5]STA_SP1_NO!$I$30</f>
        <v>0</v>
      </c>
      <c r="H8" s="371">
        <f>[6]STA_SP1_NO!$I$30</f>
        <v>0</v>
      </c>
      <c r="I8" s="62">
        <f>[7]STA_SP1_NO!$I$30</f>
        <v>0</v>
      </c>
      <c r="J8" s="54">
        <f>[8]STA_SP1_NO!$I$30</f>
        <v>60</v>
      </c>
      <c r="K8" s="62">
        <f>[9]STA_SP1_NO!$I$30</f>
        <v>0</v>
      </c>
      <c r="L8" s="54">
        <f>[10]STA_SP1_NO!$I$30</f>
        <v>0</v>
      </c>
      <c r="M8" s="374">
        <f>[11]STA_SP1_NO!$I$30</f>
        <v>0</v>
      </c>
      <c r="N8" s="249">
        <f t="shared" si="0"/>
        <v>480316.06</v>
      </c>
    </row>
    <row r="9" spans="1:14" x14ac:dyDescent="0.25">
      <c r="A9" s="32">
        <v>6</v>
      </c>
      <c r="B9" s="352" t="s">
        <v>16</v>
      </c>
      <c r="C9" s="62">
        <f>[1]STA_SP1_NO!$I$33</f>
        <v>0</v>
      </c>
      <c r="D9" s="368">
        <f>[2]STA_SP1_NO!$I$33</f>
        <v>0</v>
      </c>
      <c r="E9" s="62">
        <f>[3]STA_SP1_NO!$I$33</f>
        <v>0</v>
      </c>
      <c r="F9" s="54">
        <f>[4]STA_SP1_NO!$I$33</f>
        <v>0</v>
      </c>
      <c r="G9" s="259">
        <f>[5]STA_SP1_NO!$I$33</f>
        <v>0</v>
      </c>
      <c r="H9" s="371">
        <f>[6]STA_SP1_NO!$I$33</f>
        <v>0</v>
      </c>
      <c r="I9" s="62">
        <f>[7]STA_SP1_NO!$I$33</f>
        <v>0</v>
      </c>
      <c r="J9" s="54">
        <f>[8]STA_SP1_NO!$I$33</f>
        <v>0</v>
      </c>
      <c r="K9" s="62">
        <f>[9]STA_SP1_NO!$I$33</f>
        <v>0</v>
      </c>
      <c r="L9" s="54">
        <f>[10]STA_SP1_NO!$I$33</f>
        <v>0</v>
      </c>
      <c r="M9" s="374">
        <f>[11]STA_SP1_NO!$I$33</f>
        <v>0</v>
      </c>
      <c r="N9" s="249">
        <f t="shared" si="0"/>
        <v>0</v>
      </c>
    </row>
    <row r="10" spans="1:14" x14ac:dyDescent="0.25">
      <c r="A10" s="32">
        <v>7</v>
      </c>
      <c r="B10" s="352" t="s">
        <v>17</v>
      </c>
      <c r="C10" s="62">
        <f>[1]STA_SP1_NO!$I$36</f>
        <v>790.46</v>
      </c>
      <c r="D10" s="368">
        <f>[2]STA_SP1_NO!$I$36</f>
        <v>53680</v>
      </c>
      <c r="E10" s="62">
        <f>[3]STA_SP1_NO!$I$36</f>
        <v>47</v>
      </c>
      <c r="F10" s="54">
        <f>[4]STA_SP1_NO!$I$36</f>
        <v>0</v>
      </c>
      <c r="G10" s="259">
        <f>[5]STA_SP1_NO!$I$36</f>
        <v>24</v>
      </c>
      <c r="H10" s="371">
        <f>[6]STA_SP1_NO!$I$36</f>
        <v>0</v>
      </c>
      <c r="I10" s="62">
        <f>[7]STA_SP1_NO!$I$36</f>
        <v>25</v>
      </c>
      <c r="J10" s="54">
        <f>[8]STA_SP1_NO!$I$36</f>
        <v>0</v>
      </c>
      <c r="K10" s="62">
        <f>[9]STA_SP1_NO!$I$36</f>
        <v>51.13</v>
      </c>
      <c r="L10" s="54">
        <f>[10]STA_SP1_NO!$I$36</f>
        <v>0</v>
      </c>
      <c r="M10" s="374">
        <f>[11]STA_SP1_NO!$I$36</f>
        <v>0</v>
      </c>
      <c r="N10" s="249">
        <f t="shared" si="0"/>
        <v>54617.59</v>
      </c>
    </row>
    <row r="11" spans="1:14" x14ac:dyDescent="0.25">
      <c r="A11" s="32">
        <v>8</v>
      </c>
      <c r="B11" s="352" t="s">
        <v>18</v>
      </c>
      <c r="C11" s="62">
        <f>[1]STA_SP1_NO!$I$40</f>
        <v>317688.62</v>
      </c>
      <c r="D11" s="368">
        <f>[2]STA_SP1_NO!$I$40</f>
        <v>22695.11</v>
      </c>
      <c r="E11" s="62">
        <f>[3]STA_SP1_NO!$I$40</f>
        <v>731</v>
      </c>
      <c r="F11" s="54">
        <f>[4]STA_SP1_NO!$I$40</f>
        <v>8894.56</v>
      </c>
      <c r="G11" s="259">
        <f>[5]STA_SP1_NO!$I$40</f>
        <v>34533.83</v>
      </c>
      <c r="H11" s="371">
        <f>[6]STA_SP1_NO!$I$40</f>
        <v>502.74</v>
      </c>
      <c r="I11" s="62">
        <f>[7]STA_SP1_NO!$I$40</f>
        <v>8993</v>
      </c>
      <c r="J11" s="54">
        <f>[8]STA_SP1_NO!$I$40</f>
        <v>19783</v>
      </c>
      <c r="K11" s="62">
        <f>[9]STA_SP1_NO!$I$40</f>
        <v>3362.79</v>
      </c>
      <c r="L11" s="54">
        <f>[10]STA_SP1_NO!$I$40</f>
        <v>40136</v>
      </c>
      <c r="M11" s="374">
        <f>[11]STA_SP1_NO!$I$40</f>
        <v>0</v>
      </c>
      <c r="N11" s="249">
        <f t="shared" si="0"/>
        <v>457320.64999999997</v>
      </c>
    </row>
    <row r="12" spans="1:14" x14ac:dyDescent="0.25">
      <c r="A12" s="32">
        <v>9</v>
      </c>
      <c r="B12" s="352" t="s">
        <v>19</v>
      </c>
      <c r="C12" s="62">
        <f>[1]STA_SP1_NO!$I$56</f>
        <v>175818.52</v>
      </c>
      <c r="D12" s="368">
        <f>[2]STA_SP1_NO!$I$56</f>
        <v>9843.52</v>
      </c>
      <c r="E12" s="62">
        <f>[3]STA_SP1_NO!$I$56</f>
        <v>10670</v>
      </c>
      <c r="F12" s="54">
        <f>[4]STA_SP1_NO!$I$56</f>
        <v>14037.42</v>
      </c>
      <c r="G12" s="259">
        <f>[5]STA_SP1_NO!$I$56</f>
        <v>9167.23</v>
      </c>
      <c r="H12" s="371">
        <f>[6]STA_SP1_NO!$I$56</f>
        <v>517.4</v>
      </c>
      <c r="I12" s="62">
        <f>[7]STA_SP1_NO!$I$56</f>
        <v>25578</v>
      </c>
      <c r="J12" s="54">
        <f>[8]STA_SP1_NO!$I$56</f>
        <v>683</v>
      </c>
      <c r="K12" s="62">
        <f>[9]STA_SP1_NO!$I$56</f>
        <v>3131.46</v>
      </c>
      <c r="L12" s="54">
        <f>[10]STA_SP1_NO!$I$56</f>
        <v>6173</v>
      </c>
      <c r="M12" s="374">
        <f>[11]STA_SP1_NO!$I$56</f>
        <v>0</v>
      </c>
      <c r="N12" s="249">
        <f t="shared" si="0"/>
        <v>255619.55</v>
      </c>
    </row>
    <row r="13" spans="1:14" x14ac:dyDescent="0.25">
      <c r="A13" s="32">
        <v>10</v>
      </c>
      <c r="B13" s="352" t="s">
        <v>20</v>
      </c>
      <c r="C13" s="62">
        <f>[1]STA_SP1_NO!$I$88</f>
        <v>316094.34999999998</v>
      </c>
      <c r="D13" s="368">
        <f>[2]STA_SP1_NO!$I$88</f>
        <v>286273.57</v>
      </c>
      <c r="E13" s="62">
        <f>[3]STA_SP1_NO!$I$88</f>
        <v>159992</v>
      </c>
      <c r="F13" s="54">
        <f>[4]STA_SP1_NO!$I$88</f>
        <v>224269.61</v>
      </c>
      <c r="G13" s="259">
        <f>[5]STA_SP1_NO!$I$88</f>
        <v>254496.18</v>
      </c>
      <c r="H13" s="371">
        <f>[6]STA_SP1_NO!$I$88</f>
        <v>187809.68</v>
      </c>
      <c r="I13" s="62">
        <f>[7]STA_SP1_NO!$I$88</f>
        <v>179901</v>
      </c>
      <c r="J13" s="54">
        <f>[8]STA_SP1_NO!$I$88</f>
        <v>167445</v>
      </c>
      <c r="K13" s="62">
        <f>[9]STA_SP1_NO!$I$88</f>
        <v>175702.25</v>
      </c>
      <c r="L13" s="54">
        <f>[10]STA_SP1_NO!$I$88</f>
        <v>229448</v>
      </c>
      <c r="M13" s="374">
        <f>[11]STA_SP1_NO!$I$88</f>
        <v>9101.19</v>
      </c>
      <c r="N13" s="249">
        <f t="shared" si="0"/>
        <v>2190532.8299999996</v>
      </c>
    </row>
    <row r="14" spans="1:14" x14ac:dyDescent="0.25">
      <c r="A14" s="32">
        <v>11</v>
      </c>
      <c r="B14" s="352" t="s">
        <v>21</v>
      </c>
      <c r="C14" s="62">
        <f>[1]STA_SP1_NO!$I$124</f>
        <v>0</v>
      </c>
      <c r="D14" s="368">
        <f>[2]STA_SP1_NO!$I$124</f>
        <v>0</v>
      </c>
      <c r="E14" s="62">
        <f>[3]STA_SP1_NO!$I$124</f>
        <v>0</v>
      </c>
      <c r="F14" s="54">
        <f>[4]STA_SP1_NO!$I$124</f>
        <v>0</v>
      </c>
      <c r="G14" s="259">
        <f>[5]STA_SP1_NO!$I$124</f>
        <v>0</v>
      </c>
      <c r="H14" s="371">
        <f>[6]STA_SP1_NO!$I$124</f>
        <v>0</v>
      </c>
      <c r="I14" s="62">
        <f>[7]STA_SP1_NO!$I$124</f>
        <v>0</v>
      </c>
      <c r="J14" s="54">
        <f>[8]STA_SP1_NO!$I$124</f>
        <v>0</v>
      </c>
      <c r="K14" s="62">
        <f>[9]STA_SP1_NO!$I$124</f>
        <v>0</v>
      </c>
      <c r="L14" s="54">
        <f>[10]STA_SP1_NO!$I$124</f>
        <v>0</v>
      </c>
      <c r="M14" s="374">
        <f>[11]STA_SP1_NO!$I$124</f>
        <v>0</v>
      </c>
      <c r="N14" s="249">
        <f t="shared" si="0"/>
        <v>0</v>
      </c>
    </row>
    <row r="15" spans="1:14" x14ac:dyDescent="0.25">
      <c r="A15" s="32">
        <v>12</v>
      </c>
      <c r="B15" s="352" t="s">
        <v>22</v>
      </c>
      <c r="C15" s="62">
        <f>[1]STA_SP1_NO!$I$128</f>
        <v>0</v>
      </c>
      <c r="D15" s="368">
        <f>[2]STA_SP1_NO!$I$128</f>
        <v>6255</v>
      </c>
      <c r="E15" s="62">
        <f>[3]STA_SP1_NO!$I$128</f>
        <v>0</v>
      </c>
      <c r="F15" s="54">
        <f>[4]STA_SP1_NO!$I$128</f>
        <v>150</v>
      </c>
      <c r="G15" s="259">
        <f>[5]STA_SP1_NO!$I$128</f>
        <v>0</v>
      </c>
      <c r="H15" s="371">
        <f>[6]STA_SP1_NO!$I$128</f>
        <v>0</v>
      </c>
      <c r="I15" s="62">
        <f>[7]STA_SP1_NO!$I$128</f>
        <v>0</v>
      </c>
      <c r="J15" s="54">
        <f>[8]STA_SP1_NO!$I$128</f>
        <v>0</v>
      </c>
      <c r="K15" s="62">
        <f>[9]STA_SP1_NO!$I$128</f>
        <v>0</v>
      </c>
      <c r="L15" s="54">
        <f>[10]STA_SP1_NO!$I$128</f>
        <v>0</v>
      </c>
      <c r="M15" s="374">
        <f>[11]STA_SP1_NO!$I$128</f>
        <v>0</v>
      </c>
      <c r="N15" s="249">
        <f t="shared" si="0"/>
        <v>6405</v>
      </c>
    </row>
    <row r="16" spans="1:14" x14ac:dyDescent="0.25">
      <c r="A16" s="32">
        <v>13</v>
      </c>
      <c r="B16" s="352" t="s">
        <v>23</v>
      </c>
      <c r="C16" s="62">
        <f>[1]STA_SP1_NO!$I$132</f>
        <v>26677.27</v>
      </c>
      <c r="D16" s="368">
        <f>[2]STA_SP1_NO!$I$132</f>
        <v>7189.3</v>
      </c>
      <c r="E16" s="62">
        <f>[3]STA_SP1_NO!$I$132</f>
        <v>10935</v>
      </c>
      <c r="F16" s="54">
        <f>[4]STA_SP1_NO!$I$132</f>
        <v>2189.6999999999998</v>
      </c>
      <c r="G16" s="259">
        <f>[5]STA_SP1_NO!$I$132</f>
        <v>3086.82</v>
      </c>
      <c r="H16" s="371">
        <f>[6]STA_SP1_NO!$I$132</f>
        <v>67.7</v>
      </c>
      <c r="I16" s="62">
        <f>[7]STA_SP1_NO!$I$132</f>
        <v>23976</v>
      </c>
      <c r="J16" s="54">
        <f>[8]STA_SP1_NO!$I$132</f>
        <v>5393</v>
      </c>
      <c r="K16" s="62">
        <f>[9]STA_SP1_NO!$I$132</f>
        <v>16978.22</v>
      </c>
      <c r="L16" s="54">
        <f>[10]STA_SP1_NO!$I$132</f>
        <v>62</v>
      </c>
      <c r="M16" s="374">
        <f>[11]STA_SP1_NO!$I$132</f>
        <v>0</v>
      </c>
      <c r="N16" s="249">
        <f t="shared" si="0"/>
        <v>96555.01</v>
      </c>
    </row>
    <row r="17" spans="1:14" x14ac:dyDescent="0.25">
      <c r="A17" s="32">
        <v>14</v>
      </c>
      <c r="B17" s="352" t="s">
        <v>24</v>
      </c>
      <c r="C17" s="62">
        <f>[1]STA_SP1_NO!$I$153</f>
        <v>22.1</v>
      </c>
      <c r="D17" s="368">
        <f>[2]STA_SP1_NO!$I$153</f>
        <v>7000.85</v>
      </c>
      <c r="E17" s="62">
        <f>[3]STA_SP1_NO!$I$153</f>
        <v>0</v>
      </c>
      <c r="F17" s="54">
        <f>[4]STA_SP1_NO!$I$153</f>
        <v>0</v>
      </c>
      <c r="G17" s="259">
        <f>[5]STA_SP1_NO!$I$153</f>
        <v>0</v>
      </c>
      <c r="H17" s="371">
        <f>[6]STA_SP1_NO!$I$153</f>
        <v>0</v>
      </c>
      <c r="I17" s="62">
        <f>[7]STA_SP1_NO!$I$153</f>
        <v>0</v>
      </c>
      <c r="J17" s="54">
        <f>[8]STA_SP1_NO!$I$153</f>
        <v>0</v>
      </c>
      <c r="K17" s="62">
        <f>[9]STA_SP1_NO!$I$153</f>
        <v>311.08999999999997</v>
      </c>
      <c r="L17" s="54">
        <f>[10]STA_SP1_NO!$I$153</f>
        <v>60</v>
      </c>
      <c r="M17" s="374">
        <f>[11]STA_SP1_NO!$I$153</f>
        <v>0</v>
      </c>
      <c r="N17" s="249">
        <f t="shared" si="0"/>
        <v>7394.0400000000009</v>
      </c>
    </row>
    <row r="18" spans="1:14" x14ac:dyDescent="0.25">
      <c r="A18" s="32">
        <v>15</v>
      </c>
      <c r="B18" s="352" t="s">
        <v>25</v>
      </c>
      <c r="C18" s="62">
        <f>[1]STA_SP1_NO!$I$158</f>
        <v>0</v>
      </c>
      <c r="D18" s="368">
        <f>[2]STA_SP1_NO!$I$158</f>
        <v>0</v>
      </c>
      <c r="E18" s="62">
        <f>[3]STA_SP1_NO!$I$158</f>
        <v>0</v>
      </c>
      <c r="F18" s="54">
        <f>[4]STA_SP1_NO!$I$158</f>
        <v>0</v>
      </c>
      <c r="G18" s="259">
        <f>[5]STA_SP1_NO!$I$158</f>
        <v>0</v>
      </c>
      <c r="H18" s="371">
        <f>[6]STA_SP1_NO!$I$158</f>
        <v>0</v>
      </c>
      <c r="I18" s="62">
        <f>[7]STA_SP1_NO!$I$158</f>
        <v>0</v>
      </c>
      <c r="J18" s="54">
        <f>[8]STA_SP1_NO!$I$158</f>
        <v>0</v>
      </c>
      <c r="K18" s="62">
        <f>[9]STA_SP1_NO!$I$158</f>
        <v>0</v>
      </c>
      <c r="L18" s="54">
        <f>[10]STA_SP1_NO!$I$158</f>
        <v>0</v>
      </c>
      <c r="M18" s="374">
        <f>[11]STA_SP1_NO!$I$158</f>
        <v>0</v>
      </c>
      <c r="N18" s="249">
        <f t="shared" si="0"/>
        <v>0</v>
      </c>
    </row>
    <row r="19" spans="1:14" x14ac:dyDescent="0.25">
      <c r="A19" s="32">
        <v>16</v>
      </c>
      <c r="B19" s="352" t="s">
        <v>26</v>
      </c>
      <c r="C19" s="62">
        <f>[1]STA_SP1_NO!$I$161</f>
        <v>11007</v>
      </c>
      <c r="D19" s="368">
        <f>[2]STA_SP1_NO!$I$161</f>
        <v>0</v>
      </c>
      <c r="E19" s="62">
        <f>[3]STA_SP1_NO!$I$161</f>
        <v>0</v>
      </c>
      <c r="F19" s="54">
        <f>[4]STA_SP1_NO!$I$161</f>
        <v>1801.11</v>
      </c>
      <c r="G19" s="259">
        <f>[5]STA_SP1_NO!$I$161</f>
        <v>0</v>
      </c>
      <c r="H19" s="371">
        <f>[6]STA_SP1_NO!$I$161</f>
        <v>0</v>
      </c>
      <c r="I19" s="62">
        <f>[7]STA_SP1_NO!$I$161</f>
        <v>44600</v>
      </c>
      <c r="J19" s="54">
        <f>[8]STA_SP1_NO!$I$161</f>
        <v>0</v>
      </c>
      <c r="K19" s="62">
        <f>[9]STA_SP1_NO!$I$161</f>
        <v>118.49</v>
      </c>
      <c r="L19" s="54">
        <f>[10]STA_SP1_NO!$I$161</f>
        <v>799</v>
      </c>
      <c r="M19" s="374">
        <f>[11]STA_SP1_NO!$I$161</f>
        <v>0</v>
      </c>
      <c r="N19" s="249">
        <f t="shared" si="0"/>
        <v>58325.599999999999</v>
      </c>
    </row>
    <row r="20" spans="1:14" x14ac:dyDescent="0.25">
      <c r="A20" s="32">
        <v>17</v>
      </c>
      <c r="B20" s="352" t="s">
        <v>27</v>
      </c>
      <c r="C20" s="62">
        <f>[1]STA_SP1_NO!$I$167</f>
        <v>0</v>
      </c>
      <c r="D20" s="368">
        <f>[2]STA_SP1_NO!$I$167</f>
        <v>0</v>
      </c>
      <c r="E20" s="62">
        <f>[3]STA_SP1_NO!$I$167</f>
        <v>0</v>
      </c>
      <c r="F20" s="54">
        <f>[4]STA_SP1_NO!$I$167</f>
        <v>0</v>
      </c>
      <c r="G20" s="259">
        <f>[5]STA_SP1_NO!$I$167</f>
        <v>0</v>
      </c>
      <c r="H20" s="371">
        <f>[6]STA_SP1_NO!$I$167</f>
        <v>0</v>
      </c>
      <c r="I20" s="62">
        <f>[7]STA_SP1_NO!$I$167</f>
        <v>0</v>
      </c>
      <c r="J20" s="54">
        <f>[8]STA_SP1_NO!$I$167</f>
        <v>0</v>
      </c>
      <c r="K20" s="62">
        <f>[9]STA_SP1_NO!$I$167</f>
        <v>0</v>
      </c>
      <c r="L20" s="54">
        <f>[10]STA_SP1_NO!$I$167</f>
        <v>0</v>
      </c>
      <c r="M20" s="374">
        <f>[11]STA_SP1_NO!$I$167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3" t="s">
        <v>28</v>
      </c>
      <c r="C21" s="62">
        <f>[1]STA_SP1_NO!$I$170</f>
        <v>2553.44</v>
      </c>
      <c r="D21" s="368">
        <f>[2]STA_SP1_NO!$I$170</f>
        <v>8979.82</v>
      </c>
      <c r="E21" s="62">
        <f>[3]STA_SP1_NO!$I$170</f>
        <v>1519</v>
      </c>
      <c r="F21" s="54">
        <f>[4]STA_SP1_NO!$I$170</f>
        <v>7128.6</v>
      </c>
      <c r="G21" s="259">
        <f>[5]STA_SP1_NO!$I$170</f>
        <v>4953.8100000000004</v>
      </c>
      <c r="H21" s="371">
        <f>[6]STA_SP1_NO!$I$170</f>
        <v>1104.55</v>
      </c>
      <c r="I21" s="62">
        <f>[7]STA_SP1_NO!$I$170</f>
        <v>1292</v>
      </c>
      <c r="J21" s="54">
        <f>[8]STA_SP1_NO!$I$170</f>
        <v>2480</v>
      </c>
      <c r="K21" s="62">
        <f>[9]STA_SP1_NO!$I$170</f>
        <v>3135.2</v>
      </c>
      <c r="L21" s="54">
        <f>[10]STA_SP1_NO!$I$170</f>
        <v>2389</v>
      </c>
      <c r="M21" s="374">
        <f>[11]STA_SP1_NO!$I$170</f>
        <v>0</v>
      </c>
      <c r="N21" s="249">
        <f t="shared" si="0"/>
        <v>35535.42</v>
      </c>
    </row>
    <row r="22" spans="1:14" ht="15.75" thickBot="1" x14ac:dyDescent="0.3">
      <c r="A22" s="36"/>
      <c r="B22" s="366" t="s">
        <v>29</v>
      </c>
      <c r="C22" s="350">
        <f>SUM(C4:C21)</f>
        <v>902629.91999999993</v>
      </c>
      <c r="D22" s="360">
        <f>SUM(D4:D21)</f>
        <v>953244.95</v>
      </c>
      <c r="E22" s="350">
        <f t="shared" ref="E22:F22" si="1">SUM(E4:E21)</f>
        <v>205822</v>
      </c>
      <c r="F22" s="362">
        <f t="shared" si="1"/>
        <v>315438.28999999998</v>
      </c>
      <c r="G22" s="376">
        <f t="shared" ref="G22:N22" si="2">SUM(G4:G21)</f>
        <v>372326.77</v>
      </c>
      <c r="H22" s="362">
        <f t="shared" si="2"/>
        <v>201796.74</v>
      </c>
      <c r="I22" s="350">
        <f t="shared" si="2"/>
        <v>298123</v>
      </c>
      <c r="J22" s="363">
        <f t="shared" si="2"/>
        <v>218822</v>
      </c>
      <c r="K22" s="350">
        <f t="shared" si="2"/>
        <v>243688.72</v>
      </c>
      <c r="L22" s="362">
        <f t="shared" si="2"/>
        <v>329906</v>
      </c>
      <c r="M22" s="364">
        <f t="shared" si="2"/>
        <v>9904.19</v>
      </c>
      <c r="N22" s="250">
        <f t="shared" si="2"/>
        <v>4051702.5799999996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8"/>
      <c r="N23" s="1"/>
    </row>
    <row r="24" spans="1:14" ht="15.75" thickBot="1" x14ac:dyDescent="0.3">
      <c r="A24" s="457" t="s">
        <v>30</v>
      </c>
      <c r="B24" s="458"/>
      <c r="C24" s="48">
        <f>C22/N22</f>
        <v>0.22277793154304038</v>
      </c>
      <c r="D24" s="47">
        <f>D22/N22</f>
        <v>0.23527021818072344</v>
      </c>
      <c r="E24" s="48">
        <f>E22/N22</f>
        <v>5.0798891561285336E-2</v>
      </c>
      <c r="F24" s="47">
        <f>F22/N22</f>
        <v>7.7853268785587917E-2</v>
      </c>
      <c r="G24" s="48">
        <f>G22/N22</f>
        <v>9.1893904512606164E-2</v>
      </c>
      <c r="H24" s="47">
        <f>H22/N22</f>
        <v>4.9805417849796862E-2</v>
      </c>
      <c r="I24" s="48">
        <f>I22/N22</f>
        <v>7.3579685111042875E-2</v>
      </c>
      <c r="J24" s="47">
        <f>J22/N22</f>
        <v>5.4007419271135157E-2</v>
      </c>
      <c r="K24" s="48">
        <f>K22/N22</f>
        <v>6.0144770053679512E-2</v>
      </c>
      <c r="L24" s="47">
        <f>L22/N22</f>
        <v>8.1424041741978023E-2</v>
      </c>
      <c r="M24" s="342">
        <f>M22/N22</f>
        <v>2.4444513891244213E-3</v>
      </c>
      <c r="N24" s="257">
        <f>SUM(C24:M24)</f>
        <v>1.0000000000000002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36" t="s">
        <v>0</v>
      </c>
      <c r="B26" s="438" t="s">
        <v>1</v>
      </c>
      <c r="C26" s="497" t="s">
        <v>89</v>
      </c>
      <c r="D26" s="497"/>
      <c r="E26" s="497"/>
      <c r="F26" s="497"/>
      <c r="G26" s="497"/>
      <c r="H26" s="497"/>
      <c r="I26" s="481" t="s">
        <v>3</v>
      </c>
      <c r="J26" s="1"/>
      <c r="K26" s="1"/>
      <c r="L26" s="1"/>
      <c r="M26" s="1"/>
      <c r="N26" s="1"/>
    </row>
    <row r="27" spans="1:14" ht="15.75" thickBot="1" x14ac:dyDescent="0.3">
      <c r="A27" s="437"/>
      <c r="B27" s="440"/>
      <c r="C27" s="189" t="s">
        <v>10</v>
      </c>
      <c r="D27" s="215" t="s">
        <v>31</v>
      </c>
      <c r="E27" s="191" t="s">
        <v>7</v>
      </c>
      <c r="F27" s="127" t="s">
        <v>96</v>
      </c>
      <c r="G27" s="166" t="s">
        <v>4</v>
      </c>
      <c r="H27" s="211" t="s">
        <v>94</v>
      </c>
      <c r="I27" s="493"/>
      <c r="J27" s="81"/>
      <c r="K27" s="424" t="s">
        <v>32</v>
      </c>
      <c r="L27" s="425"/>
      <c r="M27" s="232">
        <f>N22</f>
        <v>4051702.5799999996</v>
      </c>
      <c r="N27" s="233">
        <f>M27/M29</f>
        <v>0.97699608163500806</v>
      </c>
    </row>
    <row r="28" spans="1:14" ht="15.75" thickBot="1" x14ac:dyDescent="0.3">
      <c r="A28" s="22">
        <v>19</v>
      </c>
      <c r="B28" s="128" t="s">
        <v>33</v>
      </c>
      <c r="C28" s="193">
        <f>[12]STA_SP4_ZO!$G$51</f>
        <v>21126</v>
      </c>
      <c r="D28" s="192">
        <f>[13]STA_SP4_ZO!$G$51</f>
        <v>50154</v>
      </c>
      <c r="E28" s="194">
        <f>[14]STA_SP4_ZO!$G$51</f>
        <v>9297.24</v>
      </c>
      <c r="F28" s="50">
        <f>[15]STA_SP4_ZO!$G$51</f>
        <v>10927</v>
      </c>
      <c r="G28" s="115">
        <f>[16]STA_SP4_ZO!$G$51</f>
        <v>3707.81</v>
      </c>
      <c r="H28" s="50">
        <f>[17]STA_SP4_ZO!$G$51</f>
        <v>187.55</v>
      </c>
      <c r="I28" s="244">
        <f>SUM(C28:H28)</f>
        <v>95399.6</v>
      </c>
      <c r="J28" s="81"/>
      <c r="K28" s="424" t="s">
        <v>33</v>
      </c>
      <c r="L28" s="425"/>
      <c r="M28" s="255">
        <f>I28</f>
        <v>95399.6</v>
      </c>
      <c r="N28" s="235">
        <f>M28/M29</f>
        <v>2.3003918364991917E-2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24" t="s">
        <v>3</v>
      </c>
      <c r="L29" s="425"/>
      <c r="M29" s="256">
        <f>M27+M28</f>
        <v>4147102.1799999997</v>
      </c>
      <c r="N29" s="237">
        <f>M29/M29</f>
        <v>1</v>
      </c>
    </row>
    <row r="30" spans="1:14" ht="15.75" thickBot="1" x14ac:dyDescent="0.3">
      <c r="A30" s="428" t="s">
        <v>34</v>
      </c>
      <c r="B30" s="429"/>
      <c r="C30" s="23">
        <f>C28/I28</f>
        <v>0.22144746938142296</v>
      </c>
      <c r="D30" s="82">
        <f>D28/I28</f>
        <v>0.52572547473993603</v>
      </c>
      <c r="E30" s="23">
        <f>E28/I28</f>
        <v>9.745575453146553E-2</v>
      </c>
      <c r="F30" s="82">
        <f>F28/I28</f>
        <v>0.11453926431557364</v>
      </c>
      <c r="G30" s="23">
        <f>G28/I28</f>
        <v>3.8866095874615821E-2</v>
      </c>
      <c r="H30" s="82">
        <f>H28/I28</f>
        <v>1.9659411569859834E-3</v>
      </c>
      <c r="I30" s="231">
        <f>I28/I28</f>
        <v>1</v>
      </c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N2:N3"/>
    <mergeCell ref="A24:B24"/>
    <mergeCell ref="C1:K1"/>
    <mergeCell ref="A2:A3"/>
    <mergeCell ref="B2:B3"/>
    <mergeCell ref="C2:M2"/>
  </mergeCells>
  <pageMargins left="0.25" right="0.25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F34" sqref="F34"/>
    </sheetView>
  </sheetViews>
  <sheetFormatPr defaultRowHeight="15" x14ac:dyDescent="0.25"/>
  <cols>
    <col min="1" max="1" width="6.42578125" customWidth="1"/>
    <col min="2" max="2" width="25.5703125" customWidth="1"/>
    <col min="8" max="8" width="10" customWidth="1"/>
  </cols>
  <sheetData>
    <row r="1" spans="1:14" ht="28.5" customHeight="1" thickBot="1" x14ac:dyDescent="0.3">
      <c r="A1" s="498" t="s">
        <v>103</v>
      </c>
      <c r="B1" s="498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155" t="s">
        <v>35</v>
      </c>
    </row>
    <row r="2" spans="1:14" ht="15.75" thickBot="1" x14ac:dyDescent="0.3">
      <c r="A2" s="472" t="s">
        <v>0</v>
      </c>
      <c r="B2" s="474" t="s">
        <v>1</v>
      </c>
      <c r="C2" s="377" t="s">
        <v>2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476" t="s">
        <v>3</v>
      </c>
    </row>
    <row r="3" spans="1:14" ht="21" customHeight="1" thickBot="1" x14ac:dyDescent="0.3">
      <c r="A3" s="473"/>
      <c r="B3" s="475"/>
      <c r="C3" s="66" t="s">
        <v>68</v>
      </c>
      <c r="D3" s="29" t="s">
        <v>4</v>
      </c>
      <c r="E3" s="28" t="s">
        <v>5</v>
      </c>
      <c r="F3" s="27" t="s">
        <v>6</v>
      </c>
      <c r="G3" s="335" t="s">
        <v>8</v>
      </c>
      <c r="H3" s="167" t="s">
        <v>93</v>
      </c>
      <c r="I3" s="335" t="s">
        <v>96</v>
      </c>
      <c r="J3" s="337" t="s">
        <v>37</v>
      </c>
      <c r="K3" s="21" t="s">
        <v>92</v>
      </c>
      <c r="L3" s="339" t="s">
        <v>10</v>
      </c>
      <c r="M3" s="28" t="s">
        <v>95</v>
      </c>
      <c r="N3" s="477"/>
    </row>
    <row r="4" spans="1:14" ht="15.75" thickBot="1" x14ac:dyDescent="0.3">
      <c r="A4" s="30">
        <v>1</v>
      </c>
      <c r="B4" s="31" t="s">
        <v>11</v>
      </c>
      <c r="C4" s="117">
        <f>[1]STA_SP5_NO!$G$10</f>
        <v>30560.83</v>
      </c>
      <c r="D4" s="68">
        <f>[2]STA_SP5_NO!$G$10</f>
        <v>19496.009999999998</v>
      </c>
      <c r="E4" s="117">
        <f>[3]STA_SP5_NO!$G$10</f>
        <v>8586</v>
      </c>
      <c r="F4" s="118">
        <f>[4]STA_SP5_NO!$G$10</f>
        <v>15105.92</v>
      </c>
      <c r="G4" s="143">
        <f>[5]STA_SP5_NO!$G$10</f>
        <v>27303.43</v>
      </c>
      <c r="H4" s="126">
        <f>[6]STA_SP5_NO!$G$10</f>
        <v>7086.84</v>
      </c>
      <c r="I4" s="143">
        <f>[7]STA_SP5_NO!$G$10</f>
        <v>11618</v>
      </c>
      <c r="J4" s="126">
        <f>[8]STA_SP5_NO!$G$10</f>
        <v>10439.76</v>
      </c>
      <c r="K4" s="143">
        <f>[9]STA_SP5_NO!$G$10</f>
        <v>18078.62</v>
      </c>
      <c r="L4" s="379">
        <f>[10]STA_SP5_NO!$G$10</f>
        <v>32153</v>
      </c>
      <c r="M4" s="381">
        <f>[11]STA_SP5_NO!$G$10</f>
        <v>865.93</v>
      </c>
      <c r="N4" s="249">
        <f t="shared" ref="N4:N21" si="0">SUM(C4:M4)</f>
        <v>181294.34</v>
      </c>
    </row>
    <row r="5" spans="1:14" ht="15.75" thickBot="1" x14ac:dyDescent="0.3">
      <c r="A5" s="32">
        <v>2</v>
      </c>
      <c r="B5" s="33" t="s">
        <v>12</v>
      </c>
      <c r="C5" s="117">
        <f>[1]STA_SP5_NO!$G$11</f>
        <v>12940.1</v>
      </c>
      <c r="D5" s="68">
        <f>[2]STA_SP5_NO!$G$11</f>
        <v>15766.9</v>
      </c>
      <c r="E5" s="117">
        <f>[3]STA_SP5_NO!$G$11</f>
        <v>3258</v>
      </c>
      <c r="F5" s="118">
        <f>[4]STA_SP5_NO!$G$11</f>
        <v>9595.42</v>
      </c>
      <c r="G5" s="143">
        <f>[5]STA_SP5_NO!$G$11</f>
        <v>7597.98</v>
      </c>
      <c r="H5" s="126">
        <f>[6]STA_SP5_NO!$G$11</f>
        <v>0</v>
      </c>
      <c r="I5" s="143">
        <f>[7]STA_SP5_NO!$G$11</f>
        <v>9089</v>
      </c>
      <c r="J5" s="126">
        <f>[8]STA_SP5_NO!$G$11</f>
        <v>0</v>
      </c>
      <c r="K5" s="143">
        <f>[9]STA_SP5_NO!$G$11</f>
        <v>2208.9299999999998</v>
      </c>
      <c r="L5" s="379">
        <f>[10]STA_SP5_NO!$G$11</f>
        <v>8265</v>
      </c>
      <c r="M5" s="382">
        <f>[11]STA_SP5_NO!$G$11</f>
        <v>0</v>
      </c>
      <c r="N5" s="249">
        <f t="shared" si="0"/>
        <v>68721.329999999987</v>
      </c>
    </row>
    <row r="6" spans="1:14" ht="15.75" thickBot="1" x14ac:dyDescent="0.3">
      <c r="A6" s="32">
        <v>3</v>
      </c>
      <c r="B6" s="33" t="s">
        <v>13</v>
      </c>
      <c r="C6" s="117">
        <f>[1]STA_SP5_NO!$G$12</f>
        <v>14337.3</v>
      </c>
      <c r="D6" s="68">
        <f>[2]STA_SP5_NO!$G$12</f>
        <v>9785.18</v>
      </c>
      <c r="E6" s="117">
        <f>[3]STA_SP5_NO!$G$12</f>
        <v>15322</v>
      </c>
      <c r="F6" s="118">
        <f>[4]STA_SP5_NO!$G$12</f>
        <v>30954.11</v>
      </c>
      <c r="G6" s="143">
        <f>[5]STA_SP5_NO!$G$12</f>
        <v>11034.82</v>
      </c>
      <c r="H6" s="126">
        <f>[6]STA_SP5_NO!$G$12</f>
        <v>76.55</v>
      </c>
      <c r="I6" s="143">
        <f>[7]STA_SP5_NO!$G$12</f>
        <v>8462</v>
      </c>
      <c r="J6" s="126">
        <f>[8]STA_SP5_NO!$G$12</f>
        <v>11009.53</v>
      </c>
      <c r="K6" s="143">
        <f>[9]STA_SP5_NO!$G$12</f>
        <v>19389.95</v>
      </c>
      <c r="L6" s="379">
        <f>[10]STA_SP5_NO!$G$12</f>
        <v>9550</v>
      </c>
      <c r="M6" s="381">
        <f>[11]STA_SP5_NO!$G$12</f>
        <v>4962.3500000000004</v>
      </c>
      <c r="N6" s="249">
        <f t="shared" si="0"/>
        <v>134883.79</v>
      </c>
    </row>
    <row r="7" spans="1:14" ht="15.75" thickBot="1" x14ac:dyDescent="0.3">
      <c r="A7" s="32">
        <v>4</v>
      </c>
      <c r="B7" s="33" t="s">
        <v>14</v>
      </c>
      <c r="C7" s="117">
        <f>[1]STA_SP5_NO!$G$13</f>
        <v>0</v>
      </c>
      <c r="D7" s="68">
        <f>[2]STA_SP5_NO!$G$13</f>
        <v>0</v>
      </c>
      <c r="E7" s="117">
        <f>[3]STA_SP5_NO!$G$13</f>
        <v>0</v>
      </c>
      <c r="F7" s="118">
        <f>[4]STA_SP5_NO!$G$13</f>
        <v>0</v>
      </c>
      <c r="G7" s="143">
        <f>[5]STA_SP5_NO!$G$13</f>
        <v>0</v>
      </c>
      <c r="H7" s="126">
        <f>[6]STA_SP5_NO!$G$13</f>
        <v>0</v>
      </c>
      <c r="I7" s="143">
        <f>[7]STA_SP5_NO!$G$13</f>
        <v>0</v>
      </c>
      <c r="J7" s="126">
        <f>[8]STA_SP5_NO!$G$13</f>
        <v>0</v>
      </c>
      <c r="K7" s="143">
        <f>[9]STA_SP5_NO!$G$13</f>
        <v>0</v>
      </c>
      <c r="L7" s="379">
        <f>[10]STA_SP5_NO!$G$13</f>
        <v>0</v>
      </c>
      <c r="M7" s="383">
        <f>[11]STA_SP5_NO!$G$13</f>
        <v>0</v>
      </c>
      <c r="N7" s="249">
        <f t="shared" si="0"/>
        <v>0</v>
      </c>
    </row>
    <row r="8" spans="1:14" ht="15.75" thickBot="1" x14ac:dyDescent="0.3">
      <c r="A8" s="32">
        <v>5</v>
      </c>
      <c r="B8" s="33" t="s">
        <v>15</v>
      </c>
      <c r="C8" s="117">
        <f>[1]STA_SP5_NO!$G$14</f>
        <v>0</v>
      </c>
      <c r="D8" s="68">
        <f>[2]STA_SP5_NO!$G$14</f>
        <v>0</v>
      </c>
      <c r="E8" s="117">
        <f>[3]STA_SP5_NO!$G$14</f>
        <v>0</v>
      </c>
      <c r="F8" s="118">
        <f>[4]STA_SP5_NO!$G$14</f>
        <v>0</v>
      </c>
      <c r="G8" s="143">
        <f>[5]STA_SP5_NO!$G$14</f>
        <v>0</v>
      </c>
      <c r="H8" s="126">
        <f>[6]STA_SP5_NO!$G$14</f>
        <v>0</v>
      </c>
      <c r="I8" s="143">
        <f>[7]STA_SP5_NO!$G$14</f>
        <v>0</v>
      </c>
      <c r="J8" s="126">
        <f>[8]STA_SP5_NO!$G$14</f>
        <v>0</v>
      </c>
      <c r="K8" s="143">
        <f>[9]STA_SP5_NO!$G$14</f>
        <v>0</v>
      </c>
      <c r="L8" s="379">
        <f>[10]STA_SP5_NO!$G$14</f>
        <v>0</v>
      </c>
      <c r="M8" s="383">
        <f>[11]STA_SP5_NO!$G$14</f>
        <v>0</v>
      </c>
      <c r="N8" s="249">
        <f t="shared" si="0"/>
        <v>0</v>
      </c>
    </row>
    <row r="9" spans="1:14" ht="15.75" thickBot="1" x14ac:dyDescent="0.3">
      <c r="A9" s="32">
        <v>6</v>
      </c>
      <c r="B9" s="33" t="s">
        <v>16</v>
      </c>
      <c r="C9" s="117">
        <f>[1]STA_SP5_NO!$G$15</f>
        <v>0</v>
      </c>
      <c r="D9" s="68">
        <f>[2]STA_SP5_NO!$G$15</f>
        <v>0</v>
      </c>
      <c r="E9" s="117">
        <f>[3]STA_SP5_NO!$G$15</f>
        <v>0</v>
      </c>
      <c r="F9" s="118">
        <f>[4]STA_SP5_NO!$G$15</f>
        <v>0</v>
      </c>
      <c r="G9" s="143">
        <f>[5]STA_SP5_NO!$G$15</f>
        <v>0</v>
      </c>
      <c r="H9" s="126">
        <f>[6]STA_SP5_NO!$G$15</f>
        <v>0</v>
      </c>
      <c r="I9" s="143">
        <f>[7]STA_SP5_NO!$G$15</f>
        <v>0</v>
      </c>
      <c r="J9" s="126">
        <f>[8]STA_SP5_NO!$G$15</f>
        <v>0</v>
      </c>
      <c r="K9" s="143">
        <f>[9]STA_SP5_NO!$G$15</f>
        <v>0</v>
      </c>
      <c r="L9" s="379">
        <f>[10]STA_SP5_NO!$G$15</f>
        <v>0</v>
      </c>
      <c r="M9" s="383">
        <f>[11]STA_SP5_NO!$G$15</f>
        <v>0</v>
      </c>
      <c r="N9" s="249">
        <f t="shared" si="0"/>
        <v>0</v>
      </c>
    </row>
    <row r="10" spans="1:14" ht="15.75" thickBot="1" x14ac:dyDescent="0.3">
      <c r="A10" s="32">
        <v>7</v>
      </c>
      <c r="B10" s="33" t="s">
        <v>17</v>
      </c>
      <c r="C10" s="117">
        <f>[1]STA_SP5_NO!$G$16</f>
        <v>340.28</v>
      </c>
      <c r="D10" s="68">
        <f>[2]STA_SP5_NO!$G$16</f>
        <v>0</v>
      </c>
      <c r="E10" s="117">
        <f>[3]STA_SP5_NO!$G$16</f>
        <v>516</v>
      </c>
      <c r="F10" s="118">
        <f>[4]STA_SP5_NO!$G$16</f>
        <v>0</v>
      </c>
      <c r="G10" s="143">
        <f>[5]STA_SP5_NO!$G$16</f>
        <v>6.88</v>
      </c>
      <c r="H10" s="126">
        <f>[6]STA_SP5_NO!$G$16</f>
        <v>0</v>
      </c>
      <c r="I10" s="143">
        <f>[7]STA_SP5_NO!$G$16</f>
        <v>0</v>
      </c>
      <c r="J10" s="126">
        <f>[8]STA_SP5_NO!$G$16</f>
        <v>0</v>
      </c>
      <c r="K10" s="143">
        <f>[9]STA_SP5_NO!$G$16</f>
        <v>317</v>
      </c>
      <c r="L10" s="379">
        <f>[10]STA_SP5_NO!$G$16</f>
        <v>1894</v>
      </c>
      <c r="M10" s="383">
        <f>[11]STA_SP5_NO!$G$16</f>
        <v>0</v>
      </c>
      <c r="N10" s="249">
        <f t="shared" si="0"/>
        <v>3074.16</v>
      </c>
    </row>
    <row r="11" spans="1:14" ht="15.75" thickBot="1" x14ac:dyDescent="0.3">
      <c r="A11" s="32">
        <v>8</v>
      </c>
      <c r="B11" s="33" t="s">
        <v>18</v>
      </c>
      <c r="C11" s="117">
        <f>[1]STA_SP5_NO!$G$17</f>
        <v>19724.3</v>
      </c>
      <c r="D11" s="68">
        <f>[2]STA_SP5_NO!$G$17</f>
        <v>4095.9</v>
      </c>
      <c r="E11" s="117">
        <f>[3]STA_SP5_NO!$G$17</f>
        <v>587</v>
      </c>
      <c r="F11" s="118">
        <f>[4]STA_SP5_NO!$G$17</f>
        <v>6250.26</v>
      </c>
      <c r="G11" s="143">
        <f>[5]STA_SP5_NO!$G$17</f>
        <v>22204.36</v>
      </c>
      <c r="H11" s="126">
        <f>[6]STA_SP5_NO!$G$17</f>
        <v>30.74</v>
      </c>
      <c r="I11" s="143">
        <f>[7]STA_SP5_NO!$G$17</f>
        <v>3147</v>
      </c>
      <c r="J11" s="126">
        <f>[8]STA_SP5_NO!$G$17</f>
        <v>14409.59</v>
      </c>
      <c r="K11" s="143">
        <f>[9]STA_SP5_NO!$G$17</f>
        <v>2210.56</v>
      </c>
      <c r="L11" s="379">
        <f>[10]STA_SP5_NO!$G$17</f>
        <v>3339</v>
      </c>
      <c r="M11" s="381">
        <f>[11]STA_SP5_NO!$G$17</f>
        <v>254.5</v>
      </c>
      <c r="N11" s="249">
        <f t="shared" si="0"/>
        <v>76253.209999999992</v>
      </c>
    </row>
    <row r="12" spans="1:14" ht="15.75" thickBot="1" x14ac:dyDescent="0.3">
      <c r="A12" s="32">
        <v>9</v>
      </c>
      <c r="B12" s="33" t="s">
        <v>19</v>
      </c>
      <c r="C12" s="117">
        <f>[1]STA_SP5_NO!$G$20</f>
        <v>10916.03</v>
      </c>
      <c r="D12" s="68">
        <f>[2]STA_SP5_NO!$G$20</f>
        <v>2395.23</v>
      </c>
      <c r="E12" s="117">
        <f>[3]STA_SP5_NO!$G$20</f>
        <v>13138</v>
      </c>
      <c r="F12" s="118">
        <f>[4]STA_SP5_NO!$G$20</f>
        <v>15675.79</v>
      </c>
      <c r="G12" s="143">
        <f>[5]STA_SP5_NO!$G$20</f>
        <v>6254.27</v>
      </c>
      <c r="H12" s="126">
        <f>[6]STA_SP5_NO!$G$20</f>
        <v>30.74</v>
      </c>
      <c r="I12" s="143">
        <f>[7]STA_SP5_NO!$G$20</f>
        <v>8953</v>
      </c>
      <c r="J12" s="126">
        <f>[8]STA_SP5_NO!$G$20</f>
        <v>497.42</v>
      </c>
      <c r="K12" s="143">
        <f>[9]STA_SP5_NO!$G$20</f>
        <v>2027.21</v>
      </c>
      <c r="L12" s="379">
        <f>[10]STA_SP5_NO!$G$20</f>
        <v>2283</v>
      </c>
      <c r="M12" s="381">
        <f>[11]STA_SP5_NO!$G$20</f>
        <v>115.44</v>
      </c>
      <c r="N12" s="249">
        <f t="shared" si="0"/>
        <v>62286.130000000005</v>
      </c>
    </row>
    <row r="13" spans="1:14" ht="15.75" thickBot="1" x14ac:dyDescent="0.3">
      <c r="A13" s="32">
        <v>10</v>
      </c>
      <c r="B13" s="33" t="s">
        <v>20</v>
      </c>
      <c r="C13" s="117">
        <f>[1]STA_SP5_NO!$G$26</f>
        <v>287140.82</v>
      </c>
      <c r="D13" s="68">
        <f>[2]STA_SP5_NO!$G$26</f>
        <v>226089.36</v>
      </c>
      <c r="E13" s="117">
        <f>[3]STA_SP5_NO!$G$26</f>
        <v>203079</v>
      </c>
      <c r="F13" s="118">
        <f>[4]STA_SP5_NO!$G$26</f>
        <v>176033.83</v>
      </c>
      <c r="G13" s="143">
        <f>[5]STA_SP5_NO!$G$26</f>
        <v>232927</v>
      </c>
      <c r="H13" s="126">
        <f>[6]STA_SP5_NO!$G$26</f>
        <v>164611</v>
      </c>
      <c r="I13" s="143">
        <f>[7]STA_SP5_NO!$G$26</f>
        <v>316726</v>
      </c>
      <c r="J13" s="126">
        <f>[8]STA_SP5_NO!$G$26</f>
        <v>260652</v>
      </c>
      <c r="K13" s="143">
        <f>[9]STA_SP5_NO!$G$26</f>
        <v>204142.49</v>
      </c>
      <c r="L13" s="379">
        <f>[10]STA_SP5_NO!$G$26</f>
        <v>399007</v>
      </c>
      <c r="M13" s="381">
        <f>[11]STA_SP5_NO!$G$26</f>
        <v>29533.48</v>
      </c>
      <c r="N13" s="249">
        <f t="shared" si="0"/>
        <v>2499941.98</v>
      </c>
    </row>
    <row r="14" spans="1:14" ht="15.75" thickBot="1" x14ac:dyDescent="0.3">
      <c r="A14" s="32">
        <v>11</v>
      </c>
      <c r="B14" s="33" t="s">
        <v>21</v>
      </c>
      <c r="C14" s="117">
        <f>[1]STA_SP5_NO!$G$33</f>
        <v>0</v>
      </c>
      <c r="D14" s="68">
        <f>[2]STA_SP5_NO!$G$33</f>
        <v>0</v>
      </c>
      <c r="E14" s="117">
        <f>[3]STA_SP5_NO!$G$33</f>
        <v>0</v>
      </c>
      <c r="F14" s="118">
        <f>[4]STA_SP5_NO!$G$33</f>
        <v>0</v>
      </c>
      <c r="G14" s="143">
        <f>[5]STA_SP5_NO!$G$33</f>
        <v>0</v>
      </c>
      <c r="H14" s="126">
        <f>[6]STA_SP5_NO!$G$33</f>
        <v>0</v>
      </c>
      <c r="I14" s="143">
        <f>[7]STA_SP5_NO!$G$33</f>
        <v>0</v>
      </c>
      <c r="J14" s="126">
        <f>[8]STA_SP5_NO!$G$33</f>
        <v>0</v>
      </c>
      <c r="K14" s="143">
        <f>[9]STA_SP5_NO!$G$33</f>
        <v>0</v>
      </c>
      <c r="L14" s="379">
        <f>[10]STA_SP5_NO!$G$33</f>
        <v>0</v>
      </c>
      <c r="M14" s="383">
        <f>[11]STA_SP5_NO!$G$33</f>
        <v>0</v>
      </c>
      <c r="N14" s="249">
        <f t="shared" si="0"/>
        <v>0</v>
      </c>
    </row>
    <row r="15" spans="1:14" ht="15.75" thickBot="1" x14ac:dyDescent="0.3">
      <c r="A15" s="32">
        <v>12</v>
      </c>
      <c r="B15" s="33" t="s">
        <v>22</v>
      </c>
      <c r="C15" s="117">
        <f>[1]STA_SP5_NO!$G$34</f>
        <v>0</v>
      </c>
      <c r="D15" s="68">
        <f>[2]STA_SP5_NO!$G$34</f>
        <v>0</v>
      </c>
      <c r="E15" s="117">
        <f>[3]STA_SP5_NO!$G$34</f>
        <v>0</v>
      </c>
      <c r="F15" s="118">
        <f>[4]STA_SP5_NO!$G$34</f>
        <v>0</v>
      </c>
      <c r="G15" s="143">
        <f>[5]STA_SP5_NO!$G$34</f>
        <v>0</v>
      </c>
      <c r="H15" s="126">
        <f>[6]STA_SP5_NO!$G$34</f>
        <v>0</v>
      </c>
      <c r="I15" s="143">
        <f>[7]STA_SP5_NO!$G$34</f>
        <v>0</v>
      </c>
      <c r="J15" s="126">
        <f>[8]STA_SP5_NO!$G$34</f>
        <v>0</v>
      </c>
      <c r="K15" s="143">
        <f>[9]STA_SP5_NO!$G$34</f>
        <v>0</v>
      </c>
      <c r="L15" s="379">
        <f>[10]STA_SP5_NO!$G$34</f>
        <v>0</v>
      </c>
      <c r="M15" s="383">
        <f>[11]STA_SP5_NO!$G$34</f>
        <v>0</v>
      </c>
      <c r="N15" s="249">
        <f t="shared" si="0"/>
        <v>0</v>
      </c>
    </row>
    <row r="16" spans="1:14" ht="15.75" thickBot="1" x14ac:dyDescent="0.3">
      <c r="A16" s="32">
        <v>13</v>
      </c>
      <c r="B16" s="33" t="s">
        <v>23</v>
      </c>
      <c r="C16" s="117">
        <f>[1]STA_SP5_NO!$G$35</f>
        <v>8445.16</v>
      </c>
      <c r="D16" s="68">
        <f>[2]STA_SP5_NO!$G$35</f>
        <v>837.5</v>
      </c>
      <c r="E16" s="117">
        <f>[3]STA_SP5_NO!$G$35</f>
        <v>920</v>
      </c>
      <c r="F16" s="118">
        <f>[4]STA_SP5_NO!$G$35</f>
        <v>200</v>
      </c>
      <c r="G16" s="143">
        <f>[5]STA_SP5_NO!$G$35</f>
        <v>4047.94</v>
      </c>
      <c r="H16" s="126">
        <f>[6]STA_SP5_NO!$G$35</f>
        <v>160.61000000000001</v>
      </c>
      <c r="I16" s="143">
        <f>[7]STA_SP5_NO!$G$35</f>
        <v>6150</v>
      </c>
      <c r="J16" s="126">
        <f>[8]STA_SP5_NO!$G$35</f>
        <v>10993.75</v>
      </c>
      <c r="K16" s="143">
        <f>[9]STA_SP5_NO!$G$35</f>
        <v>2097</v>
      </c>
      <c r="L16" s="379">
        <f>[10]STA_SP5_NO!$G$35</f>
        <v>1045</v>
      </c>
      <c r="M16" s="381">
        <f>[11]STA_SP5_NO!$G$35</f>
        <v>22.81</v>
      </c>
      <c r="N16" s="249">
        <f t="shared" si="0"/>
        <v>34919.769999999997</v>
      </c>
    </row>
    <row r="17" spans="1:14" ht="15.75" thickBot="1" x14ac:dyDescent="0.3">
      <c r="A17" s="32">
        <v>14</v>
      </c>
      <c r="B17" s="33" t="s">
        <v>24</v>
      </c>
      <c r="C17" s="117">
        <f>[1]STA_SP5_NO!$G$36</f>
        <v>0</v>
      </c>
      <c r="D17" s="68">
        <f>[2]STA_SP5_NO!$G$36</f>
        <v>0</v>
      </c>
      <c r="E17" s="117">
        <f>[3]STA_SP5_NO!$G$36</f>
        <v>0</v>
      </c>
      <c r="F17" s="118">
        <f>[4]STA_SP5_NO!$G$36</f>
        <v>0</v>
      </c>
      <c r="G17" s="143">
        <f>[5]STA_SP5_NO!$G$36</f>
        <v>0</v>
      </c>
      <c r="H17" s="126">
        <f>[6]STA_SP5_NO!$G$36</f>
        <v>0</v>
      </c>
      <c r="I17" s="143">
        <f>[7]STA_SP5_NO!$G$36</f>
        <v>0</v>
      </c>
      <c r="J17" s="126">
        <f>[8]STA_SP5_NO!$G$36</f>
        <v>0</v>
      </c>
      <c r="K17" s="143">
        <f>[9]STA_SP5_NO!$G$36</f>
        <v>160</v>
      </c>
      <c r="L17" s="379">
        <f>[10]STA_SP5_NO!$G$36</f>
        <v>0</v>
      </c>
      <c r="M17" s="383">
        <f>[11]STA_SP5_NO!$G$36</f>
        <v>0</v>
      </c>
      <c r="N17" s="249">
        <f t="shared" si="0"/>
        <v>160</v>
      </c>
    </row>
    <row r="18" spans="1:14" ht="15.75" thickBot="1" x14ac:dyDescent="0.3">
      <c r="A18" s="32">
        <v>15</v>
      </c>
      <c r="B18" s="33" t="s">
        <v>25</v>
      </c>
      <c r="C18" s="117">
        <f>[1]STA_SP5_NO!$G$37</f>
        <v>0</v>
      </c>
      <c r="D18" s="68">
        <f>[2]STA_SP5_NO!$G$37</f>
        <v>0</v>
      </c>
      <c r="E18" s="117">
        <f>[3]STA_SP5_NO!$G$37</f>
        <v>0</v>
      </c>
      <c r="F18" s="118">
        <f>[4]STA_SP5_NO!$G$37</f>
        <v>0</v>
      </c>
      <c r="G18" s="143">
        <f>[5]STA_SP5_NO!$G$37</f>
        <v>0</v>
      </c>
      <c r="H18" s="126">
        <f>[6]STA_SP5_NO!$G$37</f>
        <v>0</v>
      </c>
      <c r="I18" s="143">
        <f>[7]STA_SP5_NO!$G$37</f>
        <v>0</v>
      </c>
      <c r="J18" s="126">
        <f>[8]STA_SP5_NO!$G$37</f>
        <v>0</v>
      </c>
      <c r="K18" s="143">
        <f>[9]STA_SP5_NO!$G$37</f>
        <v>0</v>
      </c>
      <c r="L18" s="379">
        <f>[10]STA_SP5_NO!$G$37</f>
        <v>0</v>
      </c>
      <c r="M18" s="383">
        <f>[11]STA_SP5_NO!$G$37</f>
        <v>0</v>
      </c>
      <c r="N18" s="249">
        <f t="shared" si="0"/>
        <v>0</v>
      </c>
    </row>
    <row r="19" spans="1:14" ht="15.75" thickBot="1" x14ac:dyDescent="0.3">
      <c r="A19" s="32">
        <v>16</v>
      </c>
      <c r="B19" s="33" t="s">
        <v>26</v>
      </c>
      <c r="C19" s="117">
        <f>[1]STA_SP5_NO!$G$38</f>
        <v>0</v>
      </c>
      <c r="D19" s="68">
        <f>[2]STA_SP5_NO!$G$38</f>
        <v>0</v>
      </c>
      <c r="E19" s="117">
        <f>[3]STA_SP5_NO!$G$38</f>
        <v>87</v>
      </c>
      <c r="F19" s="118">
        <f>[4]STA_SP5_NO!$G$38</f>
        <v>0</v>
      </c>
      <c r="G19" s="143">
        <f>[5]STA_SP5_NO!$G$38</f>
        <v>0</v>
      </c>
      <c r="H19" s="126">
        <f>[6]STA_SP5_NO!$G$38</f>
        <v>0</v>
      </c>
      <c r="I19" s="143">
        <f>[7]STA_SP5_NO!$G$38</f>
        <v>0</v>
      </c>
      <c r="J19" s="126">
        <f>[8]STA_SP5_NO!$G$38</f>
        <v>0</v>
      </c>
      <c r="K19" s="143">
        <f>[9]STA_SP5_NO!$G$38</f>
        <v>131</v>
      </c>
      <c r="L19" s="379">
        <f>[10]STA_SP5_NO!$G$38</f>
        <v>0</v>
      </c>
      <c r="M19" s="383">
        <f>[11]STA_SP5_NO!$G$38</f>
        <v>0</v>
      </c>
      <c r="N19" s="249">
        <f t="shared" si="0"/>
        <v>218</v>
      </c>
    </row>
    <row r="20" spans="1:14" ht="15.75" thickBot="1" x14ac:dyDescent="0.3">
      <c r="A20" s="32">
        <v>17</v>
      </c>
      <c r="B20" s="33" t="s">
        <v>27</v>
      </c>
      <c r="C20" s="117">
        <f>[1]STA_SP5_NO!$G$39</f>
        <v>0</v>
      </c>
      <c r="D20" s="68">
        <f>[2]STA_SP5_NO!$G$39</f>
        <v>0</v>
      </c>
      <c r="E20" s="117">
        <f>[3]STA_SP5_NO!$G$39</f>
        <v>0</v>
      </c>
      <c r="F20" s="118">
        <f>[4]STA_SP5_NO!$G$39</f>
        <v>0</v>
      </c>
      <c r="G20" s="143">
        <f>[5]STA_SP5_NO!$G$39</f>
        <v>0</v>
      </c>
      <c r="H20" s="126">
        <f>[6]STA_SP5_NO!$G$39</f>
        <v>0</v>
      </c>
      <c r="I20" s="143">
        <f>[7]STA_SP5_NO!$G$39</f>
        <v>0</v>
      </c>
      <c r="J20" s="126">
        <f>[8]STA_SP5_NO!$G$39</f>
        <v>0</v>
      </c>
      <c r="K20" s="143">
        <f>[9]STA_SP5_NO!$G$39</f>
        <v>0</v>
      </c>
      <c r="L20" s="379">
        <f>[10]STA_SP5_NO!$G$39</f>
        <v>0</v>
      </c>
      <c r="M20" s="383">
        <f>[11]STA_SP5_NO!$G$39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28</v>
      </c>
      <c r="C21" s="117">
        <f>[1]STA_SP5_NO!$G$40</f>
        <v>1444.81</v>
      </c>
      <c r="D21" s="68">
        <f>[2]STA_SP5_NO!$G$40</f>
        <v>873.86</v>
      </c>
      <c r="E21" s="117">
        <f>[3]STA_SP5_NO!$G$40</f>
        <v>1845</v>
      </c>
      <c r="F21" s="118">
        <f>[4]STA_SP5_NO!$G$40</f>
        <v>3195.58</v>
      </c>
      <c r="G21" s="143">
        <f>[5]STA_SP5_NO!$G$40</f>
        <v>1887.87</v>
      </c>
      <c r="H21" s="126">
        <f>[6]STA_SP5_NO!$G$40</f>
        <v>1011.79</v>
      </c>
      <c r="I21" s="143">
        <f>[7]STA_SP5_NO!$G$40</f>
        <v>801</v>
      </c>
      <c r="J21" s="126">
        <f>[8]STA_SP5_NO!$G$40</f>
        <v>5030.38</v>
      </c>
      <c r="K21" s="143">
        <f>[9]STA_SP5_NO!$G$40</f>
        <v>914</v>
      </c>
      <c r="L21" s="379">
        <f>[10]STA_SP5_NO!$G$40</f>
        <v>2620</v>
      </c>
      <c r="M21" s="383">
        <f>[11]STA_SP5_NO!$G$40</f>
        <v>60.21</v>
      </c>
      <c r="N21" s="249">
        <f t="shared" si="0"/>
        <v>19684.5</v>
      </c>
    </row>
    <row r="22" spans="1:14" ht="15.75" thickBot="1" x14ac:dyDescent="0.3">
      <c r="A22" s="36"/>
      <c r="B22" s="37" t="s">
        <v>29</v>
      </c>
      <c r="C22" s="41">
        <f t="shared" ref="C22:F22" si="1">SUM(C4:C21)</f>
        <v>385849.63</v>
      </c>
      <c r="D22" s="42">
        <f>SUM(D4:D21)</f>
        <v>279339.93999999994</v>
      </c>
      <c r="E22" s="41">
        <f t="shared" si="1"/>
        <v>247338</v>
      </c>
      <c r="F22" s="39">
        <f t="shared" si="1"/>
        <v>257010.90999999997</v>
      </c>
      <c r="G22" s="40">
        <f t="shared" ref="G22:N22" si="2">SUM(G4:G21)</f>
        <v>313264.55</v>
      </c>
      <c r="H22" s="39">
        <f t="shared" si="2"/>
        <v>173008.27</v>
      </c>
      <c r="I22" s="40">
        <f t="shared" si="2"/>
        <v>364946</v>
      </c>
      <c r="J22" s="51">
        <f t="shared" si="2"/>
        <v>313032.43</v>
      </c>
      <c r="K22" s="40">
        <f t="shared" si="2"/>
        <v>251676.75999999998</v>
      </c>
      <c r="L22" s="380">
        <f t="shared" si="2"/>
        <v>460156</v>
      </c>
      <c r="M22" s="384">
        <f t="shared" si="2"/>
        <v>35814.719999999994</v>
      </c>
      <c r="N22" s="250">
        <f t="shared" si="2"/>
        <v>3081437.21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8"/>
      <c r="N23" s="1"/>
    </row>
    <row r="24" spans="1:14" ht="15.75" thickBot="1" x14ac:dyDescent="0.3">
      <c r="A24" s="457" t="s">
        <v>30</v>
      </c>
      <c r="B24" s="458"/>
      <c r="C24" s="48">
        <f>C22/N22</f>
        <v>0.12521742411230247</v>
      </c>
      <c r="D24" s="47">
        <f>D22/N22</f>
        <v>9.0652484851378792E-2</v>
      </c>
      <c r="E24" s="48">
        <f>E22/N22</f>
        <v>8.0267090693047091E-2</v>
      </c>
      <c r="F24" s="47">
        <f>F22/N22</f>
        <v>8.3406181104693014E-2</v>
      </c>
      <c r="G24" s="48">
        <f>G22/N22</f>
        <v>0.10166183136342408</v>
      </c>
      <c r="H24" s="47">
        <f>H22/N22</f>
        <v>5.6145317333920294E-2</v>
      </c>
      <c r="I24" s="48">
        <f>I22/N22</f>
        <v>0.11843369672296519</v>
      </c>
      <c r="J24" s="47">
        <f>J22/N22</f>
        <v>0.10158650287733755</v>
      </c>
      <c r="K24" s="48">
        <f>K22/N22</f>
        <v>8.1675121979850426E-2</v>
      </c>
      <c r="L24" s="47">
        <f>L22/N22</f>
        <v>0.14933161659328439</v>
      </c>
      <c r="M24" s="342">
        <f>M22/N22</f>
        <v>1.1622732367796648E-2</v>
      </c>
      <c r="N24" s="251">
        <f>SUM(C24:M24)</f>
        <v>0.99999999999999989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36" t="s">
        <v>0</v>
      </c>
      <c r="B26" s="438" t="s">
        <v>1</v>
      </c>
      <c r="C26" s="497" t="s">
        <v>89</v>
      </c>
      <c r="D26" s="497"/>
      <c r="E26" s="497"/>
      <c r="F26" s="497"/>
      <c r="G26" s="497"/>
      <c r="H26" s="497"/>
      <c r="I26" s="481" t="s">
        <v>3</v>
      </c>
      <c r="J26" s="1"/>
      <c r="K26" s="1"/>
      <c r="L26" s="1"/>
      <c r="M26" s="1"/>
      <c r="N26" s="1"/>
    </row>
    <row r="27" spans="1:14" ht="15.75" thickBot="1" x14ac:dyDescent="0.3">
      <c r="A27" s="437"/>
      <c r="B27" s="440"/>
      <c r="C27" s="189" t="s">
        <v>10</v>
      </c>
      <c r="D27" s="215" t="s">
        <v>31</v>
      </c>
      <c r="E27" s="191" t="s">
        <v>7</v>
      </c>
      <c r="F27" s="127" t="s">
        <v>96</v>
      </c>
      <c r="G27" s="166" t="s">
        <v>4</v>
      </c>
      <c r="H27" s="211" t="s">
        <v>94</v>
      </c>
      <c r="I27" s="493"/>
      <c r="J27" s="81"/>
      <c r="K27" s="424" t="s">
        <v>32</v>
      </c>
      <c r="L27" s="425"/>
      <c r="M27" s="232">
        <f>N22</f>
        <v>3081437.21</v>
      </c>
      <c r="N27" s="233">
        <f>M27/M29</f>
        <v>0.98894942754900805</v>
      </c>
    </row>
    <row r="28" spans="1:14" ht="15.75" thickBot="1" x14ac:dyDescent="0.3">
      <c r="A28" s="22">
        <v>19</v>
      </c>
      <c r="B28" s="128" t="s">
        <v>33</v>
      </c>
      <c r="C28" s="193">
        <f>[12]STA_SP4_ZO!$H$51</f>
        <v>7236</v>
      </c>
      <c r="D28" s="192">
        <f>[13]STA_SP4_ZO!$H$51</f>
        <v>9580</v>
      </c>
      <c r="E28" s="194">
        <f>[14]STA_SP4_ZO!$H$51</f>
        <v>13502.75</v>
      </c>
      <c r="F28" s="50">
        <f>[15]STA_SP4_ZO!$H$51</f>
        <v>2029</v>
      </c>
      <c r="G28" s="115">
        <f>[16]STA_SP4_ZO!$H$51</f>
        <v>1867.5</v>
      </c>
      <c r="H28" s="50">
        <f>[17]STA_SP4_ZO!$H$51</f>
        <v>216.89</v>
      </c>
      <c r="I28" s="244">
        <f>SUM(C28:H28)</f>
        <v>34432.14</v>
      </c>
      <c r="J28" s="81"/>
      <c r="K28" s="424" t="s">
        <v>33</v>
      </c>
      <c r="L28" s="425"/>
      <c r="M28" s="255">
        <f>I28</f>
        <v>34432.14</v>
      </c>
      <c r="N28" s="235">
        <f>M28/M29</f>
        <v>1.1050572450991888E-2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24" t="s">
        <v>3</v>
      </c>
      <c r="L29" s="425"/>
      <c r="M29" s="256">
        <f>M27+M28</f>
        <v>3115869.35</v>
      </c>
      <c r="N29" s="237">
        <f>M29/M29</f>
        <v>1</v>
      </c>
    </row>
    <row r="30" spans="1:14" ht="15.75" thickBot="1" x14ac:dyDescent="0.3">
      <c r="A30" s="428" t="s">
        <v>34</v>
      </c>
      <c r="B30" s="429"/>
      <c r="C30" s="23">
        <f>C28/I28</f>
        <v>0.21015249124800259</v>
      </c>
      <c r="D30" s="82">
        <f>D28/I28</f>
        <v>0.27822842263071657</v>
      </c>
      <c r="E30" s="23">
        <f>E28/I28</f>
        <v>0.39215541061345593</v>
      </c>
      <c r="F30" s="82">
        <f>F28/I28</f>
        <v>5.8927502037340693E-2</v>
      </c>
      <c r="G30" s="23">
        <f>G28/I28</f>
        <v>5.4237116833284249E-2</v>
      </c>
      <c r="H30" s="82">
        <f>H28/I28</f>
        <v>6.2990566372000114E-3</v>
      </c>
      <c r="I30" s="231">
        <f>I28/I28</f>
        <v>1</v>
      </c>
      <c r="J30" s="1"/>
      <c r="K30" s="1"/>
      <c r="L30" s="1"/>
      <c r="M30" s="1"/>
      <c r="N30" s="1"/>
    </row>
  </sheetData>
  <mergeCells count="13">
    <mergeCell ref="N2:N3"/>
    <mergeCell ref="A24:B24"/>
    <mergeCell ref="K29:L29"/>
    <mergeCell ref="A30:B30"/>
    <mergeCell ref="A1:M1"/>
    <mergeCell ref="A26:A27"/>
    <mergeCell ref="B26:B27"/>
    <mergeCell ref="K27:L27"/>
    <mergeCell ref="K28:L28"/>
    <mergeCell ref="A2:A3"/>
    <mergeCell ref="B2:B3"/>
    <mergeCell ref="I26:I27"/>
    <mergeCell ref="C26:H26"/>
  </mergeCells>
  <pageMargins left="0.7" right="0.7" top="0.75" bottom="0.75" header="0.3" footer="0.3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G24" sqref="G24"/>
    </sheetView>
  </sheetViews>
  <sheetFormatPr defaultRowHeight="15" x14ac:dyDescent="0.25"/>
  <cols>
    <col min="1" max="1" width="3.85546875" customWidth="1"/>
    <col min="2" max="2" width="27.85546875" customWidth="1"/>
  </cols>
  <sheetData>
    <row r="1" spans="1:14" ht="24.75" customHeight="1" thickBot="1" x14ac:dyDescent="0.3">
      <c r="A1" s="26"/>
      <c r="B1" s="26"/>
      <c r="C1" s="469" t="s">
        <v>104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52"/>
    </row>
    <row r="2" spans="1:14" ht="15.75" thickBot="1" x14ac:dyDescent="0.3">
      <c r="A2" s="472" t="s">
        <v>0</v>
      </c>
      <c r="B2" s="474" t="s">
        <v>1</v>
      </c>
      <c r="C2" s="494" t="s">
        <v>2</v>
      </c>
      <c r="D2" s="495"/>
      <c r="E2" s="495"/>
      <c r="F2" s="495"/>
      <c r="G2" s="495"/>
      <c r="H2" s="495"/>
      <c r="I2" s="495"/>
      <c r="J2" s="495"/>
      <c r="K2" s="495"/>
      <c r="L2" s="495"/>
      <c r="M2" s="496"/>
      <c r="N2" s="499" t="s">
        <v>3</v>
      </c>
    </row>
    <row r="3" spans="1:14" x14ac:dyDescent="0.25">
      <c r="A3" s="512"/>
      <c r="B3" s="513"/>
      <c r="C3" s="502" t="s">
        <v>68</v>
      </c>
      <c r="D3" s="504" t="s">
        <v>4</v>
      </c>
      <c r="E3" s="506" t="s">
        <v>5</v>
      </c>
      <c r="F3" s="474" t="s">
        <v>6</v>
      </c>
      <c r="G3" s="508" t="s">
        <v>8</v>
      </c>
      <c r="H3" s="474" t="s">
        <v>93</v>
      </c>
      <c r="I3" s="506" t="s">
        <v>96</v>
      </c>
      <c r="J3" s="516" t="s">
        <v>37</v>
      </c>
      <c r="K3" s="506" t="s">
        <v>92</v>
      </c>
      <c r="L3" s="474" t="s">
        <v>10</v>
      </c>
      <c r="M3" s="510" t="s">
        <v>95</v>
      </c>
      <c r="N3" s="500"/>
    </row>
    <row r="4" spans="1:14" ht="15.75" thickBot="1" x14ac:dyDescent="0.3">
      <c r="A4" s="507"/>
      <c r="B4" s="514"/>
      <c r="C4" s="503"/>
      <c r="D4" s="505"/>
      <c r="E4" s="507"/>
      <c r="F4" s="507"/>
      <c r="G4" s="509"/>
      <c r="H4" s="475"/>
      <c r="I4" s="515"/>
      <c r="J4" s="517"/>
      <c r="K4" s="515"/>
      <c r="L4" s="475"/>
      <c r="M4" s="511"/>
      <c r="N4" s="501"/>
    </row>
    <row r="5" spans="1:14" ht="15.75" thickBot="1" x14ac:dyDescent="0.3">
      <c r="A5" s="30">
        <v>1</v>
      </c>
      <c r="B5" s="31" t="s">
        <v>38</v>
      </c>
      <c r="C5" s="117">
        <f>[1]STA_SP2_NO!$C$11</f>
        <v>21047</v>
      </c>
      <c r="D5" s="68">
        <f>[2]STA_SP2_NO!$C$11</f>
        <v>10565</v>
      </c>
      <c r="E5" s="117">
        <f>[3]STA_SP2_NO!$C$11</f>
        <v>7004</v>
      </c>
      <c r="F5" s="118">
        <f>[4]STA_SP2_NO!$C$11</f>
        <v>11900</v>
      </c>
      <c r="G5" s="385">
        <f>[5]STA_SP2_NO!$C$11</f>
        <v>12240</v>
      </c>
      <c r="H5" s="126">
        <f>[6]STA_SP2_NO!$C$11</f>
        <v>19116</v>
      </c>
      <c r="I5" s="143">
        <f>[7]STA_SP2_NO!$C$11</f>
        <v>26871</v>
      </c>
      <c r="J5" s="126">
        <f>[8]STA_SP2_NO!$C$11</f>
        <v>15034</v>
      </c>
      <c r="K5" s="143">
        <f>[9]STA_SP2_NO!$C$11</f>
        <v>8405</v>
      </c>
      <c r="L5" s="379">
        <f>[10]STA_SP2_NO!$C$11</f>
        <v>18835</v>
      </c>
      <c r="M5" s="332">
        <f>[11]STA_SP2_NO!$C$11</f>
        <v>0</v>
      </c>
      <c r="N5" s="249">
        <f t="shared" ref="N5:N17" si="0">SUM(C5:M5)</f>
        <v>151017</v>
      </c>
    </row>
    <row r="6" spans="1:14" ht="15.75" thickBot="1" x14ac:dyDescent="0.3">
      <c r="A6" s="32">
        <v>2</v>
      </c>
      <c r="B6" s="33" t="s">
        <v>39</v>
      </c>
      <c r="C6" s="117">
        <f>[1]STA_SP2_NO!$C$12</f>
        <v>2508</v>
      </c>
      <c r="D6" s="68">
        <f>[2]STA_SP2_NO!$C$12</f>
        <v>1193</v>
      </c>
      <c r="E6" s="117">
        <f>[3]STA_SP2_NO!$C$12</f>
        <v>733</v>
      </c>
      <c r="F6" s="118">
        <f>[4]STA_SP2_NO!$C$12</f>
        <v>1780</v>
      </c>
      <c r="G6" s="385">
        <f>[5]STA_SP2_NO!$C$12</f>
        <v>1167</v>
      </c>
      <c r="H6" s="126">
        <f>[6]STA_SP2_NO!$C$12</f>
        <v>1590</v>
      </c>
      <c r="I6" s="143">
        <f>[7]STA_SP2_NO!$C$12</f>
        <v>3169</v>
      </c>
      <c r="J6" s="126">
        <f>[8]STA_SP2_NO!$C$12</f>
        <v>1547</v>
      </c>
      <c r="K6" s="143">
        <f>[9]STA_SP2_NO!$C$12</f>
        <v>1053</v>
      </c>
      <c r="L6" s="379">
        <f>[10]STA_SP2_NO!$C$12</f>
        <v>1857</v>
      </c>
      <c r="M6" s="332">
        <f>[11]STA_SP2_NO!$C$12</f>
        <v>0</v>
      </c>
      <c r="N6" s="249">
        <f t="shared" si="0"/>
        <v>16597</v>
      </c>
    </row>
    <row r="7" spans="1:14" ht="15.75" thickBot="1" x14ac:dyDescent="0.3">
      <c r="A7" s="32">
        <v>3</v>
      </c>
      <c r="B7" s="33" t="s">
        <v>40</v>
      </c>
      <c r="C7" s="117">
        <f>[1]STA_SP2_NO!$C$13</f>
        <v>138</v>
      </c>
      <c r="D7" s="68">
        <f>[2]STA_SP2_NO!$C$13</f>
        <v>83</v>
      </c>
      <c r="E7" s="117">
        <f>[3]STA_SP2_NO!$C$13</f>
        <v>50</v>
      </c>
      <c r="F7" s="118">
        <f>[4]STA_SP2_NO!$C$13</f>
        <v>96</v>
      </c>
      <c r="G7" s="385">
        <f>[5]STA_SP2_NO!$C$13</f>
        <v>97</v>
      </c>
      <c r="H7" s="126">
        <f>[6]STA_SP2_NO!$C$13</f>
        <v>67</v>
      </c>
      <c r="I7" s="143">
        <f>[7]STA_SP2_NO!$C$13</f>
        <v>214</v>
      </c>
      <c r="J7" s="126">
        <f>[8]STA_SP2_NO!$C$13</f>
        <v>142</v>
      </c>
      <c r="K7" s="143">
        <f>[9]STA_SP2_NO!$C$13</f>
        <v>59</v>
      </c>
      <c r="L7" s="379">
        <f>[10]STA_SP2_NO!$C$13</f>
        <v>58</v>
      </c>
      <c r="M7" s="332">
        <f>[11]STA_SP2_NO!$C$13</f>
        <v>0</v>
      </c>
      <c r="N7" s="249">
        <f t="shared" si="0"/>
        <v>1004</v>
      </c>
    </row>
    <row r="8" spans="1:14" ht="15.75" thickBot="1" x14ac:dyDescent="0.3">
      <c r="A8" s="32">
        <v>4</v>
      </c>
      <c r="B8" s="33" t="s">
        <v>41</v>
      </c>
      <c r="C8" s="117">
        <f>[1]STA_SP2_NO!$C$14</f>
        <v>920</v>
      </c>
      <c r="D8" s="68">
        <f>[2]STA_SP2_NO!$C$14</f>
        <v>578</v>
      </c>
      <c r="E8" s="117">
        <f>[3]STA_SP2_NO!$C$14</f>
        <v>161</v>
      </c>
      <c r="F8" s="118">
        <f>[4]STA_SP2_NO!$C$14</f>
        <v>351</v>
      </c>
      <c r="G8" s="385">
        <f>[5]STA_SP2_NO!$C$14</f>
        <v>336</v>
      </c>
      <c r="H8" s="126">
        <f>[6]STA_SP2_NO!$C$14</f>
        <v>572</v>
      </c>
      <c r="I8" s="143">
        <f>[7]STA_SP2_NO!$C$14</f>
        <v>501</v>
      </c>
      <c r="J8" s="126">
        <f>[8]STA_SP2_NO!$C$14</f>
        <v>709</v>
      </c>
      <c r="K8" s="143">
        <f>[9]STA_SP2_NO!$C$14</f>
        <v>414</v>
      </c>
      <c r="L8" s="379">
        <f>[10]STA_SP2_NO!$C$14</f>
        <v>817</v>
      </c>
      <c r="M8" s="332">
        <f>[11]STA_SP2_NO!$C$14</f>
        <v>0</v>
      </c>
      <c r="N8" s="249">
        <f t="shared" si="0"/>
        <v>5359</v>
      </c>
    </row>
    <row r="9" spans="1:14" ht="15.75" thickBot="1" x14ac:dyDescent="0.3">
      <c r="A9" s="32">
        <v>5</v>
      </c>
      <c r="B9" s="33" t="s">
        <v>42</v>
      </c>
      <c r="C9" s="117">
        <f>[1]STA_SP2_NO!$C$15</f>
        <v>28</v>
      </c>
      <c r="D9" s="68">
        <f>[2]STA_SP2_NO!$C$15</f>
        <v>8</v>
      </c>
      <c r="E9" s="117">
        <f>[3]STA_SP2_NO!$C$15</f>
        <v>30</v>
      </c>
      <c r="F9" s="118">
        <f>[4]STA_SP2_NO!$C$15</f>
        <v>23</v>
      </c>
      <c r="G9" s="385">
        <f>[5]STA_SP2_NO!$C$15</f>
        <v>15</v>
      </c>
      <c r="H9" s="126">
        <f>[6]STA_SP2_NO!$C$15</f>
        <v>102</v>
      </c>
      <c r="I9" s="143">
        <f>[7]STA_SP2_NO!$C$15</f>
        <v>34</v>
      </c>
      <c r="J9" s="126">
        <f>[8]STA_SP2_NO!$C$15</f>
        <v>77</v>
      </c>
      <c r="K9" s="143">
        <f>[9]STA_SP2_NO!$C$15</f>
        <v>16</v>
      </c>
      <c r="L9" s="379">
        <f>[10]STA_SP2_NO!$C$15</f>
        <v>23</v>
      </c>
      <c r="M9" s="332">
        <f>[11]STA_SP2_NO!$C$15</f>
        <v>0</v>
      </c>
      <c r="N9" s="249">
        <f t="shared" si="0"/>
        <v>356</v>
      </c>
    </row>
    <row r="10" spans="1:14" ht="15.75" thickBot="1" x14ac:dyDescent="0.3">
      <c r="A10" s="32">
        <v>6</v>
      </c>
      <c r="B10" s="33" t="s">
        <v>43</v>
      </c>
      <c r="C10" s="117">
        <f>[1]STA_SP2_NO!$C$16</f>
        <v>1076</v>
      </c>
      <c r="D10" s="68">
        <f>[2]STA_SP2_NO!$C$16</f>
        <v>634</v>
      </c>
      <c r="E10" s="117">
        <f>[3]STA_SP2_NO!$C$16</f>
        <v>261</v>
      </c>
      <c r="F10" s="118">
        <f>[4]STA_SP2_NO!$C$16</f>
        <v>824</v>
      </c>
      <c r="G10" s="385">
        <f>[5]STA_SP2_NO!$C$16</f>
        <v>536</v>
      </c>
      <c r="H10" s="126">
        <f>[6]STA_SP2_NO!$C$16</f>
        <v>1151</v>
      </c>
      <c r="I10" s="143">
        <f>[7]STA_SP2_NO!$C$16</f>
        <v>1130</v>
      </c>
      <c r="J10" s="126">
        <f>[8]STA_SP2_NO!$C$16</f>
        <v>725</v>
      </c>
      <c r="K10" s="143">
        <f>[9]STA_SP2_NO!$C$16</f>
        <v>345</v>
      </c>
      <c r="L10" s="379">
        <f>[10]STA_SP2_NO!$C$16</f>
        <v>1215</v>
      </c>
      <c r="M10" s="332">
        <f>[11]STA_SP2_NO!$C$16</f>
        <v>0</v>
      </c>
      <c r="N10" s="249">
        <f t="shared" si="0"/>
        <v>7897</v>
      </c>
    </row>
    <row r="11" spans="1:14" ht="15.75" thickBot="1" x14ac:dyDescent="0.3">
      <c r="A11" s="32">
        <v>7</v>
      </c>
      <c r="B11" s="33" t="s">
        <v>44</v>
      </c>
      <c r="C11" s="117">
        <f>[1]STA_SP2_NO!$C$17</f>
        <v>793</v>
      </c>
      <c r="D11" s="68">
        <f>[2]STA_SP2_NO!$C$17</f>
        <v>464</v>
      </c>
      <c r="E11" s="117">
        <f>[3]STA_SP2_NO!$C$17</f>
        <v>198</v>
      </c>
      <c r="F11" s="118">
        <f>[4]STA_SP2_NO!$C$17</f>
        <v>448</v>
      </c>
      <c r="G11" s="385">
        <f>[5]STA_SP2_NO!$C$17</f>
        <v>300</v>
      </c>
      <c r="H11" s="126">
        <f>[6]STA_SP2_NO!$C$17</f>
        <v>416</v>
      </c>
      <c r="I11" s="143">
        <f>[7]STA_SP2_NO!$C$17</f>
        <v>658</v>
      </c>
      <c r="J11" s="126">
        <f>[8]STA_SP2_NO!$C$17</f>
        <v>493</v>
      </c>
      <c r="K11" s="143">
        <f>[9]STA_SP2_NO!$C$17</f>
        <v>343</v>
      </c>
      <c r="L11" s="379">
        <f>[10]STA_SP2_NO!$C$17</f>
        <v>498</v>
      </c>
      <c r="M11" s="332">
        <f>[11]STA_SP2_NO!$C$17</f>
        <v>0</v>
      </c>
      <c r="N11" s="249">
        <f t="shared" si="0"/>
        <v>4611</v>
      </c>
    </row>
    <row r="12" spans="1:14" ht="15.75" thickBot="1" x14ac:dyDescent="0.3">
      <c r="A12" s="32">
        <v>8</v>
      </c>
      <c r="B12" s="33" t="s">
        <v>45</v>
      </c>
      <c r="C12" s="117">
        <f>[1]STA_SP2_NO!$C$18</f>
        <v>138</v>
      </c>
      <c r="D12" s="68">
        <f>[2]STA_SP2_NO!$C$18</f>
        <v>33</v>
      </c>
      <c r="E12" s="117">
        <f>[3]STA_SP2_NO!$C$18</f>
        <v>25</v>
      </c>
      <c r="F12" s="118">
        <f>[4]STA_SP2_NO!$C$18</f>
        <v>69</v>
      </c>
      <c r="G12" s="385">
        <f>[5]STA_SP2_NO!$C$18</f>
        <v>50</v>
      </c>
      <c r="H12" s="126">
        <f>[6]STA_SP2_NO!$C$18</f>
        <v>0</v>
      </c>
      <c r="I12" s="143">
        <f>[7]STA_SP2_NO!$C$18</f>
        <v>127</v>
      </c>
      <c r="J12" s="126">
        <f>[8]STA_SP2_NO!$C$18</f>
        <v>118</v>
      </c>
      <c r="K12" s="143">
        <f>[9]STA_SP2_NO!$C$18</f>
        <v>43</v>
      </c>
      <c r="L12" s="379">
        <f>[10]STA_SP2_NO!$C$18</f>
        <v>64</v>
      </c>
      <c r="M12" s="332">
        <f>[11]STA_SP2_NO!$C$18</f>
        <v>0</v>
      </c>
      <c r="N12" s="249">
        <f t="shared" si="0"/>
        <v>667</v>
      </c>
    </row>
    <row r="13" spans="1:14" ht="23.25" thickBot="1" x14ac:dyDescent="0.3">
      <c r="A13" s="32">
        <v>9</v>
      </c>
      <c r="B13" s="53" t="s">
        <v>46</v>
      </c>
      <c r="C13" s="117">
        <f>[1]STA_SP2_NO!$C$19</f>
        <v>0</v>
      </c>
      <c r="D13" s="68">
        <f>[2]STA_SP2_NO!$C$19</f>
        <v>0</v>
      </c>
      <c r="E13" s="117">
        <f>[3]STA_SP2_NO!$C$19</f>
        <v>0</v>
      </c>
      <c r="F13" s="118">
        <f>[4]STA_SP2_NO!$C$19</f>
        <v>0</v>
      </c>
      <c r="G13" s="385">
        <f>[5]STA_SP2_NO!$C$19</f>
        <v>0</v>
      </c>
      <c r="H13" s="126">
        <f>[6]STA_SP2_NO!$C$19</f>
        <v>0</v>
      </c>
      <c r="I13" s="143">
        <f>[7]STA_SP2_NO!$C$19</f>
        <v>0</v>
      </c>
      <c r="J13" s="126">
        <f>[8]STA_SP2_NO!$C$19</f>
        <v>0</v>
      </c>
      <c r="K13" s="143">
        <f>[9]STA_SP2_NO!$C$19</f>
        <v>0</v>
      </c>
      <c r="L13" s="379">
        <f>[10]STA_SP2_NO!$C$19</f>
        <v>0</v>
      </c>
      <c r="M13" s="332">
        <f>[11]STA_SP2_NO!$C$19</f>
        <v>0</v>
      </c>
      <c r="N13" s="249">
        <f t="shared" si="0"/>
        <v>0</v>
      </c>
    </row>
    <row r="14" spans="1:14" ht="34.5" thickBot="1" x14ac:dyDescent="0.3">
      <c r="A14" s="32">
        <v>10</v>
      </c>
      <c r="B14" s="53" t="s">
        <v>47</v>
      </c>
      <c r="C14" s="62">
        <f>[1]STA_SP2_NO!$C$20</f>
        <v>0</v>
      </c>
      <c r="D14" s="68">
        <f>[2]STA_SP2_NO!$C$20</f>
        <v>0</v>
      </c>
      <c r="E14" s="117">
        <f>[3]STA_SP2_NO!$C$20</f>
        <v>0</v>
      </c>
      <c r="F14" s="118">
        <f>[4]STA_SP2_NO!$C$20</f>
        <v>0</v>
      </c>
      <c r="G14" s="385">
        <f>[5]STA_SP2_NO!$C$20</f>
        <v>0</v>
      </c>
      <c r="H14" s="126">
        <f>[6]STA_SP2_NO!$C$20</f>
        <v>0</v>
      </c>
      <c r="I14" s="143">
        <f>[7]STA_SP2_NO!$C$20</f>
        <v>0</v>
      </c>
      <c r="J14" s="126">
        <f>[8]STA_SP2_NO!$C$20</f>
        <v>0</v>
      </c>
      <c r="K14" s="143">
        <f>[9]STA_SP2_NO!$C$20</f>
        <v>0</v>
      </c>
      <c r="L14" s="379">
        <f>[10]STA_SP2_NO!$C$20</f>
        <v>0</v>
      </c>
      <c r="M14" s="332">
        <f>[11]STA_SP2_NO!$C$20</f>
        <v>0</v>
      </c>
      <c r="N14" s="249">
        <f t="shared" si="0"/>
        <v>0</v>
      </c>
    </row>
    <row r="15" spans="1:14" ht="15.75" thickBot="1" x14ac:dyDescent="0.3">
      <c r="A15" s="32">
        <v>11</v>
      </c>
      <c r="B15" s="33" t="s">
        <v>48</v>
      </c>
      <c r="C15" s="62">
        <f>[1]STA_SP2_NO!$C$21</f>
        <v>0</v>
      </c>
      <c r="D15" s="68">
        <f>[2]STA_SP2_NO!$C$21</f>
        <v>0</v>
      </c>
      <c r="E15" s="117">
        <f>[3]STA_SP2_NO!$C$21</f>
        <v>0</v>
      </c>
      <c r="F15" s="118">
        <f>[4]STA_SP2_NO!$C$21</f>
        <v>0</v>
      </c>
      <c r="G15" s="385">
        <f>[5]STA_SP2_NO!$C$21</f>
        <v>355</v>
      </c>
      <c r="H15" s="126">
        <f>[6]STA_SP2_NO!$C$21</f>
        <v>0</v>
      </c>
      <c r="I15" s="143">
        <f>[7]STA_SP2_NO!$C$21</f>
        <v>0</v>
      </c>
      <c r="J15" s="126">
        <f>[8]STA_SP2_NO!$C$21</f>
        <v>0</v>
      </c>
      <c r="K15" s="143">
        <f>[9]STA_SP2_NO!$C$21</f>
        <v>0</v>
      </c>
      <c r="L15" s="379">
        <f>[10]STA_SP2_NO!$C$21</f>
        <v>0</v>
      </c>
      <c r="M15" s="332">
        <f>[11]STA_SP2_NO!$C$21</f>
        <v>0</v>
      </c>
      <c r="N15" s="249">
        <f t="shared" si="0"/>
        <v>355</v>
      </c>
    </row>
    <row r="16" spans="1:14" ht="49.5" customHeight="1" thickBot="1" x14ac:dyDescent="0.3">
      <c r="A16" s="32">
        <v>12</v>
      </c>
      <c r="B16" s="53" t="s">
        <v>49</v>
      </c>
      <c r="C16" s="62">
        <f>[1]STA_SP2_NO!$C$22</f>
        <v>0</v>
      </c>
      <c r="D16" s="68">
        <f>[2]STA_SP2_NO!$C$22</f>
        <v>0</v>
      </c>
      <c r="E16" s="117">
        <f>[3]STA_SP2_NO!$C$22</f>
        <v>0</v>
      </c>
      <c r="F16" s="118">
        <f>[4]STA_SP2_NO!$C$22</f>
        <v>0</v>
      </c>
      <c r="G16" s="385">
        <f>[5]STA_SP2_NO!$C$22</f>
        <v>0</v>
      </c>
      <c r="H16" s="126">
        <f>[6]STA_SP2_NO!$C$22</f>
        <v>0</v>
      </c>
      <c r="I16" s="143">
        <f>[7]STA_SP2_NO!$C$22</f>
        <v>0</v>
      </c>
      <c r="J16" s="126">
        <f>[8]STA_SP2_NO!$C$22</f>
        <v>0</v>
      </c>
      <c r="K16" s="143">
        <f>[9]STA_SP2_NO!$C$22</f>
        <v>0</v>
      </c>
      <c r="L16" s="379">
        <f>[10]STA_SP2_NO!$C$22</f>
        <v>0</v>
      </c>
      <c r="M16" s="386">
        <f>[11]STA_SP2_NO!$C$22</f>
        <v>0</v>
      </c>
      <c r="N16" s="249">
        <f t="shared" si="0"/>
        <v>0</v>
      </c>
    </row>
    <row r="17" spans="1:14" ht="34.5" thickBot="1" x14ac:dyDescent="0.3">
      <c r="A17" s="32">
        <v>13</v>
      </c>
      <c r="B17" s="53" t="s">
        <v>50</v>
      </c>
      <c r="C17" s="62">
        <f>[1]STA_SP2_NO!$C$23</f>
        <v>30</v>
      </c>
      <c r="D17" s="68">
        <f>[2]STA_SP2_NO!$C$23</f>
        <v>0</v>
      </c>
      <c r="E17" s="117">
        <f>[3]STA_SP2_NO!$C$23</f>
        <v>0</v>
      </c>
      <c r="F17" s="118">
        <f>[4]STA_SP2_NO!$C$23</f>
        <v>0</v>
      </c>
      <c r="G17" s="385">
        <f>[5]STA_SP2_NO!$C$23</f>
        <v>12</v>
      </c>
      <c r="H17" s="126">
        <f>[6]STA_SP2_NO!$C$23</f>
        <v>0</v>
      </c>
      <c r="I17" s="143">
        <f>[7]STA_SP2_NO!$C$23</f>
        <v>0</v>
      </c>
      <c r="J17" s="126">
        <f>[8]STA_SP2_NO!$C$23</f>
        <v>0</v>
      </c>
      <c r="K17" s="143">
        <f>[9]STA_SP2_NO!$C$23</f>
        <v>0</v>
      </c>
      <c r="L17" s="379">
        <f>[10]STA_SP2_NO!$C$23</f>
        <v>1</v>
      </c>
      <c r="M17" s="386">
        <f>[11]STA_SP2_NO!$C$23</f>
        <v>0</v>
      </c>
      <c r="N17" s="249">
        <f t="shared" si="0"/>
        <v>43</v>
      </c>
    </row>
    <row r="18" spans="1:14" ht="15.75" thickBot="1" x14ac:dyDescent="0.3">
      <c r="A18" s="36"/>
      <c r="B18" s="37" t="s">
        <v>36</v>
      </c>
      <c r="C18" s="41">
        <f t="shared" ref="C18:F18" si="1">SUM(C5:C17)</f>
        <v>26678</v>
      </c>
      <c r="D18" s="42">
        <f>SUM(D5:D17)</f>
        <v>13558</v>
      </c>
      <c r="E18" s="41">
        <f t="shared" si="1"/>
        <v>8462</v>
      </c>
      <c r="F18" s="39">
        <f t="shared" si="1"/>
        <v>15491</v>
      </c>
      <c r="G18" s="40">
        <f t="shared" ref="G18:N18" si="2">SUM(G5:G17)</f>
        <v>15108</v>
      </c>
      <c r="H18" s="39">
        <f t="shared" si="2"/>
        <v>23014</v>
      </c>
      <c r="I18" s="40">
        <f t="shared" si="2"/>
        <v>32704</v>
      </c>
      <c r="J18" s="39">
        <f t="shared" si="2"/>
        <v>18845</v>
      </c>
      <c r="K18" s="40">
        <f t="shared" si="2"/>
        <v>10678</v>
      </c>
      <c r="L18" s="380">
        <f t="shared" si="2"/>
        <v>23368</v>
      </c>
      <c r="M18" s="333">
        <f t="shared" si="2"/>
        <v>0</v>
      </c>
      <c r="N18" s="250">
        <f t="shared" si="2"/>
        <v>187906</v>
      </c>
    </row>
    <row r="19" spans="1:14" ht="15.75" thickBot="1" x14ac:dyDescent="0.3">
      <c r="A19" s="1"/>
      <c r="B19" s="1"/>
      <c r="C19" s="1"/>
      <c r="D19" s="1"/>
      <c r="E19" s="1"/>
      <c r="F19" s="1"/>
      <c r="G19" s="341"/>
      <c r="H19" s="1"/>
      <c r="I19" s="341"/>
      <c r="J19" s="1"/>
      <c r="K19" s="341"/>
      <c r="L19" s="1"/>
      <c r="M19" s="341"/>
      <c r="N19" s="1"/>
    </row>
    <row r="20" spans="1:14" ht="15.75" thickBot="1" x14ac:dyDescent="0.3">
      <c r="A20" s="457" t="s">
        <v>52</v>
      </c>
      <c r="B20" s="458"/>
      <c r="C20" s="48">
        <f>C18/N18</f>
        <v>0.14197524294061925</v>
      </c>
      <c r="D20" s="47">
        <f>D18/N18</f>
        <v>7.2153097825508494E-2</v>
      </c>
      <c r="E20" s="48">
        <f>E18/N18</f>
        <v>4.5033154875309997E-2</v>
      </c>
      <c r="F20" s="47">
        <f>F18/N18</f>
        <v>8.2440156248336935E-2</v>
      </c>
      <c r="G20" s="48">
        <f>G18/N18</f>
        <v>8.0401903079199172E-2</v>
      </c>
      <c r="H20" s="47">
        <f>H18/N18</f>
        <v>0.12247613168286271</v>
      </c>
      <c r="I20" s="48">
        <f>I18/N18</f>
        <v>0.17404446904303214</v>
      </c>
      <c r="J20" s="47">
        <f>J18/N18</f>
        <v>0.10028950645535534</v>
      </c>
      <c r="K20" s="48">
        <f>K18/N18</f>
        <v>5.6826285483167115E-2</v>
      </c>
      <c r="L20" s="47">
        <f>L18/N18</f>
        <v>0.12436005236660884</v>
      </c>
      <c r="M20" s="342">
        <f>M18/N18</f>
        <v>0</v>
      </c>
      <c r="N20" s="251">
        <f>SUM(C20:M20)</f>
        <v>1.0000000000000002</v>
      </c>
    </row>
  </sheetData>
  <mergeCells count="17">
    <mergeCell ref="A20:B20"/>
    <mergeCell ref="C1:K1"/>
    <mergeCell ref="A2:A4"/>
    <mergeCell ref="B2:B4"/>
    <mergeCell ref="H3:H4"/>
    <mergeCell ref="I3:I4"/>
    <mergeCell ref="J3:J4"/>
    <mergeCell ref="K3:K4"/>
    <mergeCell ref="N2:N4"/>
    <mergeCell ref="C3:C4"/>
    <mergeCell ref="D3:D4"/>
    <mergeCell ref="E3:E4"/>
    <mergeCell ref="F3:F4"/>
    <mergeCell ref="G3:G4"/>
    <mergeCell ref="L3:L4"/>
    <mergeCell ref="C2:M2"/>
    <mergeCell ref="M3:M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L28" sqref="L28"/>
    </sheetView>
  </sheetViews>
  <sheetFormatPr defaultRowHeight="15" x14ac:dyDescent="0.25"/>
  <cols>
    <col min="1" max="1" width="4.42578125" customWidth="1"/>
    <col min="2" max="2" width="28.28515625" customWidth="1"/>
    <col min="3" max="3" width="9.140625" customWidth="1"/>
  </cols>
  <sheetData>
    <row r="1" spans="1:14" ht="26.25" customHeight="1" thickBot="1" x14ac:dyDescent="0.3">
      <c r="A1" s="120"/>
      <c r="B1" s="26"/>
      <c r="C1" s="469" t="s">
        <v>105</v>
      </c>
      <c r="D1" s="470"/>
      <c r="E1" s="470"/>
      <c r="F1" s="470"/>
      <c r="G1" s="470"/>
      <c r="H1" s="470"/>
      <c r="I1" s="470"/>
      <c r="J1" s="471"/>
      <c r="K1" s="471"/>
      <c r="L1" s="26"/>
      <c r="M1" s="26"/>
      <c r="N1" s="155" t="s">
        <v>51</v>
      </c>
    </row>
    <row r="2" spans="1:14" ht="15.75" thickBot="1" x14ac:dyDescent="0.3">
      <c r="A2" s="472" t="s">
        <v>0</v>
      </c>
      <c r="B2" s="474" t="s">
        <v>1</v>
      </c>
      <c r="C2" s="494" t="s">
        <v>2</v>
      </c>
      <c r="D2" s="495"/>
      <c r="E2" s="495"/>
      <c r="F2" s="495"/>
      <c r="G2" s="495"/>
      <c r="H2" s="495"/>
      <c r="I2" s="495"/>
      <c r="J2" s="495"/>
      <c r="K2" s="495"/>
      <c r="L2" s="495"/>
      <c r="M2" s="496"/>
      <c r="N2" s="499" t="s">
        <v>3</v>
      </c>
    </row>
    <row r="3" spans="1:14" ht="12.75" customHeight="1" x14ac:dyDescent="0.25">
      <c r="A3" s="512"/>
      <c r="B3" s="513"/>
      <c r="C3" s="519" t="s">
        <v>68</v>
      </c>
      <c r="D3" s="513" t="s">
        <v>4</v>
      </c>
      <c r="E3" s="523" t="s">
        <v>5</v>
      </c>
      <c r="F3" s="513" t="s">
        <v>6</v>
      </c>
      <c r="G3" s="506" t="s">
        <v>8</v>
      </c>
      <c r="H3" s="474" t="s">
        <v>93</v>
      </c>
      <c r="I3" s="506" t="s">
        <v>96</v>
      </c>
      <c r="J3" s="530" t="s">
        <v>37</v>
      </c>
      <c r="K3" s="506" t="s">
        <v>92</v>
      </c>
      <c r="L3" s="474" t="s">
        <v>10</v>
      </c>
      <c r="M3" s="525" t="s">
        <v>95</v>
      </c>
      <c r="N3" s="500"/>
    </row>
    <row r="4" spans="1:14" ht="9" customHeight="1" x14ac:dyDescent="0.25">
      <c r="A4" s="528"/>
      <c r="B4" s="522"/>
      <c r="C4" s="520"/>
      <c r="D4" s="522"/>
      <c r="E4" s="524"/>
      <c r="F4" s="522"/>
      <c r="G4" s="523"/>
      <c r="H4" s="513"/>
      <c r="I4" s="523"/>
      <c r="J4" s="531"/>
      <c r="K4" s="523"/>
      <c r="L4" s="513"/>
      <c r="M4" s="526"/>
      <c r="N4" s="518"/>
    </row>
    <row r="5" spans="1:14" ht="5.25" customHeight="1" thickBot="1" x14ac:dyDescent="0.3">
      <c r="A5" s="507"/>
      <c r="B5" s="514"/>
      <c r="C5" s="521"/>
      <c r="D5" s="507"/>
      <c r="E5" s="507"/>
      <c r="F5" s="507"/>
      <c r="G5" s="515"/>
      <c r="H5" s="475"/>
      <c r="I5" s="515"/>
      <c r="J5" s="532"/>
      <c r="K5" s="515"/>
      <c r="L5" s="475"/>
      <c r="M5" s="527"/>
      <c r="N5" s="501"/>
    </row>
    <row r="6" spans="1:14" ht="15.75" thickBot="1" x14ac:dyDescent="0.3">
      <c r="A6" s="30">
        <v>1</v>
      </c>
      <c r="B6" s="31" t="s">
        <v>38</v>
      </c>
      <c r="C6" s="61">
        <f>[1]STA_SP2_NO!$D$11</f>
        <v>116710.55</v>
      </c>
      <c r="D6" s="68">
        <f>[2]STA_SP2_NO!$D$11</f>
        <v>58673.51</v>
      </c>
      <c r="E6" s="117">
        <f>[3]STA_SP2_NO!$D$11</f>
        <v>41093</v>
      </c>
      <c r="F6" s="126">
        <f>[4]STA_SP2_NO!$D$11</f>
        <v>70138.92</v>
      </c>
      <c r="G6" s="117">
        <f>[5]STA_SP2_NO!$D$11</f>
        <v>69707</v>
      </c>
      <c r="H6" s="126">
        <f>[6]STA_SP2_NO!$D$11</f>
        <v>110023.29</v>
      </c>
      <c r="I6" s="117">
        <f>[7]STA_SP2_NO!$D$11</f>
        <v>158876</v>
      </c>
      <c r="J6" s="68">
        <f>[8]STA_SP2_NO!$D$11</f>
        <v>84207</v>
      </c>
      <c r="K6" s="62">
        <f>[9]STA_SP2_NO!$D$11</f>
        <v>48037.96</v>
      </c>
      <c r="L6" s="68">
        <f>[10]STA_SP2_NO!$D$11</f>
        <v>106919</v>
      </c>
      <c r="M6" s="332">
        <f>[11]STA_SP2_NO!$D$11</f>
        <v>0</v>
      </c>
      <c r="N6" s="249">
        <f t="shared" ref="N6:N18" si="0">SUM(C6:M6)</f>
        <v>864386.23</v>
      </c>
    </row>
    <row r="7" spans="1:14" ht="15.75" thickBot="1" x14ac:dyDescent="0.3">
      <c r="A7" s="32">
        <v>2</v>
      </c>
      <c r="B7" s="33" t="s">
        <v>39</v>
      </c>
      <c r="C7" s="61">
        <f>[1]STA_SP2_NO!$D$12</f>
        <v>28798.799999999999</v>
      </c>
      <c r="D7" s="68">
        <f>[2]STA_SP2_NO!$D$12</f>
        <v>13773.74</v>
      </c>
      <c r="E7" s="117">
        <f>[3]STA_SP2_NO!$D$12</f>
        <v>7900</v>
      </c>
      <c r="F7" s="126">
        <f>[4]STA_SP2_NO!$D$12</f>
        <v>19427.71</v>
      </c>
      <c r="G7" s="117">
        <f>[5]STA_SP2_NO!$D$12</f>
        <v>12809.42</v>
      </c>
      <c r="H7" s="126">
        <f>[6]STA_SP2_NO!$D$12</f>
        <v>16658.7</v>
      </c>
      <c r="I7" s="117">
        <f>[7]STA_SP2_NO!$D$12</f>
        <v>32318</v>
      </c>
      <c r="J7" s="68">
        <f>[8]STA_SP2_NO!$D$12</f>
        <v>16900</v>
      </c>
      <c r="K7" s="62">
        <f>[9]STA_SP2_NO!$D$12</f>
        <v>12305.61</v>
      </c>
      <c r="L7" s="68">
        <f>[10]STA_SP2_NO!$D$12</f>
        <v>18899</v>
      </c>
      <c r="M7" s="332">
        <f>[11]STA_SP2_NO!$D$12</f>
        <v>0</v>
      </c>
      <c r="N7" s="249">
        <f t="shared" si="0"/>
        <v>179790.97999999998</v>
      </c>
    </row>
    <row r="8" spans="1:14" ht="15.75" thickBot="1" x14ac:dyDescent="0.3">
      <c r="A8" s="32">
        <v>3</v>
      </c>
      <c r="B8" s="33" t="s">
        <v>40</v>
      </c>
      <c r="C8" s="61">
        <f>[1]STA_SP2_NO!$D$13</f>
        <v>2950.05</v>
      </c>
      <c r="D8" s="68">
        <f>[2]STA_SP2_NO!$D$13</f>
        <v>1611.63</v>
      </c>
      <c r="E8" s="117">
        <f>[3]STA_SP2_NO!$D$13</f>
        <v>1020</v>
      </c>
      <c r="F8" s="126">
        <f>[4]STA_SP2_NO!$D$13</f>
        <v>2160.35</v>
      </c>
      <c r="G8" s="117">
        <f>[5]STA_SP2_NO!$D$13</f>
        <v>1245.57</v>
      </c>
      <c r="H8" s="126">
        <f>[6]STA_SP2_NO!$D$13</f>
        <v>1553.72</v>
      </c>
      <c r="I8" s="117">
        <f>[7]STA_SP2_NO!$D$13</f>
        <v>5056</v>
      </c>
      <c r="J8" s="68">
        <f>[8]STA_SP2_NO!$D$13</f>
        <v>2994</v>
      </c>
      <c r="K8" s="62">
        <f>[9]STA_SP2_NO!$D$13</f>
        <v>1123.31</v>
      </c>
      <c r="L8" s="68">
        <f>[10]STA_SP2_NO!$D$13</f>
        <v>1100</v>
      </c>
      <c r="M8" s="332">
        <f>[11]STA_SP2_NO!$D$13</f>
        <v>0</v>
      </c>
      <c r="N8" s="249">
        <f t="shared" si="0"/>
        <v>20814.63</v>
      </c>
    </row>
    <row r="9" spans="1:14" ht="15.75" thickBot="1" x14ac:dyDescent="0.3">
      <c r="A9" s="32">
        <v>4</v>
      </c>
      <c r="B9" s="33" t="s">
        <v>41</v>
      </c>
      <c r="C9" s="61">
        <f>[1]STA_SP2_NO!$D$14</f>
        <v>729.17</v>
      </c>
      <c r="D9" s="68">
        <f>[2]STA_SP2_NO!$D$14</f>
        <v>472.13</v>
      </c>
      <c r="E9" s="117">
        <f>[3]STA_SP2_NO!$D$14</f>
        <v>123</v>
      </c>
      <c r="F9" s="126">
        <f>[4]STA_SP2_NO!$D$14</f>
        <v>303.18</v>
      </c>
      <c r="G9" s="117">
        <f>[5]STA_SP2_NO!$D$14</f>
        <v>276.16000000000003</v>
      </c>
      <c r="H9" s="126">
        <f>[6]STA_SP2_NO!$D$14</f>
        <v>515.32000000000005</v>
      </c>
      <c r="I9" s="117">
        <f>[7]STA_SP2_NO!$D$14</f>
        <v>400</v>
      </c>
      <c r="J9" s="68">
        <f>[8]STA_SP2_NO!$D$14</f>
        <v>586</v>
      </c>
      <c r="K9" s="62">
        <f>[9]STA_SP2_NO!$D$14</f>
        <v>326.39999999999998</v>
      </c>
      <c r="L9" s="68">
        <f>[10]STA_SP2_NO!$D$14</f>
        <v>675</v>
      </c>
      <c r="M9" s="332">
        <f>[11]STA_SP2_NO!$D$14</f>
        <v>0</v>
      </c>
      <c r="N9" s="249">
        <f t="shared" si="0"/>
        <v>4406.3600000000006</v>
      </c>
    </row>
    <row r="10" spans="1:14" ht="15.75" thickBot="1" x14ac:dyDescent="0.3">
      <c r="A10" s="32">
        <v>5</v>
      </c>
      <c r="B10" s="33" t="s">
        <v>42</v>
      </c>
      <c r="C10" s="61">
        <f>[1]STA_SP2_NO!$D$15</f>
        <v>58.14</v>
      </c>
      <c r="D10" s="68">
        <f>[2]STA_SP2_NO!$D$15</f>
        <v>23.88</v>
      </c>
      <c r="E10" s="117">
        <f>[3]STA_SP2_NO!$D$15</f>
        <v>72</v>
      </c>
      <c r="F10" s="126">
        <f>[4]STA_SP2_NO!$D$15</f>
        <v>73.37</v>
      </c>
      <c r="G10" s="117">
        <f>[5]STA_SP2_NO!$D$15</f>
        <v>51.49</v>
      </c>
      <c r="H10" s="126">
        <f>[6]STA_SP2_NO!$D$15</f>
        <v>381.22</v>
      </c>
      <c r="I10" s="117">
        <f>[7]STA_SP2_NO!$D$15</f>
        <v>96</v>
      </c>
      <c r="J10" s="68">
        <f>[8]STA_SP2_NO!$D$15</f>
        <v>258</v>
      </c>
      <c r="K10" s="62">
        <f>[9]STA_SP2_NO!$D$15</f>
        <v>58.72</v>
      </c>
      <c r="L10" s="68">
        <f>[10]STA_SP2_NO!$D$15</f>
        <v>79</v>
      </c>
      <c r="M10" s="332">
        <f>[11]STA_SP2_NO!$D$15</f>
        <v>0</v>
      </c>
      <c r="N10" s="249">
        <f t="shared" si="0"/>
        <v>1151.82</v>
      </c>
    </row>
    <row r="11" spans="1:14" ht="15.75" thickBot="1" x14ac:dyDescent="0.3">
      <c r="A11" s="32">
        <v>6</v>
      </c>
      <c r="B11" s="33" t="s">
        <v>43</v>
      </c>
      <c r="C11" s="61">
        <f>[1]STA_SP2_NO!$D$16</f>
        <v>1893.66</v>
      </c>
      <c r="D11" s="68">
        <f>[2]STA_SP2_NO!$D$16</f>
        <v>1063.24</v>
      </c>
      <c r="E11" s="117">
        <f>[3]STA_SP2_NO!$D$16</f>
        <v>544</v>
      </c>
      <c r="F11" s="126">
        <f>[4]STA_SP2_NO!$D$16</f>
        <v>1994.88</v>
      </c>
      <c r="G11" s="117">
        <f>[5]STA_SP2_NO!$D$16</f>
        <v>868.93</v>
      </c>
      <c r="H11" s="126">
        <f>[6]STA_SP2_NO!$D$16</f>
        <v>1978.27</v>
      </c>
      <c r="I11" s="117">
        <f>[7]STA_SP2_NO!$D$16</f>
        <v>1845</v>
      </c>
      <c r="J11" s="68">
        <f>[8]STA_SP2_NO!$D$16</f>
        <v>1301</v>
      </c>
      <c r="K11" s="62">
        <f>[9]STA_SP2_NO!$D$16</f>
        <v>666.79</v>
      </c>
      <c r="L11" s="68">
        <f>[10]STA_SP2_NO!$D$16</f>
        <v>2205</v>
      </c>
      <c r="M11" s="332">
        <f>[11]STA_SP2_NO!$D$16</f>
        <v>0</v>
      </c>
      <c r="N11" s="249">
        <f t="shared" si="0"/>
        <v>14360.77</v>
      </c>
    </row>
    <row r="12" spans="1:14" ht="15.75" thickBot="1" x14ac:dyDescent="0.3">
      <c r="A12" s="32">
        <v>7</v>
      </c>
      <c r="B12" s="33" t="s">
        <v>44</v>
      </c>
      <c r="C12" s="61">
        <f>[1]STA_SP2_NO!$D$17</f>
        <v>246.06</v>
      </c>
      <c r="D12" s="68">
        <f>[2]STA_SP2_NO!$D$17</f>
        <v>146.19</v>
      </c>
      <c r="E12" s="117">
        <f>[3]STA_SP2_NO!$D$17</f>
        <v>60</v>
      </c>
      <c r="F12" s="126">
        <f>[4]STA_SP2_NO!$D$17</f>
        <v>142.72</v>
      </c>
      <c r="G12" s="117">
        <f>[5]STA_SP2_NO!$D$17</f>
        <v>97.08</v>
      </c>
      <c r="H12" s="126">
        <f>[6]STA_SP2_NO!$D$17</f>
        <v>129.01</v>
      </c>
      <c r="I12" s="117">
        <f>[7]STA_SP2_NO!$D$17</f>
        <v>202</v>
      </c>
      <c r="J12" s="68">
        <f>[8]STA_SP2_NO!$D$17</f>
        <v>179</v>
      </c>
      <c r="K12" s="62">
        <f>[9]STA_SP2_NO!$D$17</f>
        <v>105.99</v>
      </c>
      <c r="L12" s="68">
        <f>[10]STA_SP2_NO!$D$17</f>
        <v>154</v>
      </c>
      <c r="M12" s="332">
        <f>[11]STA_SP2_NO!$D$17</f>
        <v>0</v>
      </c>
      <c r="N12" s="249">
        <f t="shared" si="0"/>
        <v>1462.05</v>
      </c>
    </row>
    <row r="13" spans="1:14" ht="15.75" thickBot="1" x14ac:dyDescent="0.3">
      <c r="A13" s="32">
        <v>8</v>
      </c>
      <c r="B13" s="33" t="s">
        <v>45</v>
      </c>
      <c r="C13" s="61">
        <f>[1]STA_SP2_NO!$D$18</f>
        <v>471.9</v>
      </c>
      <c r="D13" s="68">
        <f>[2]STA_SP2_NO!$D$18</f>
        <v>143.28</v>
      </c>
      <c r="E13" s="117">
        <f>[3]STA_SP2_NO!$D$18</f>
        <v>83</v>
      </c>
      <c r="F13" s="126">
        <f>[4]STA_SP2_NO!$D$18</f>
        <v>269.73</v>
      </c>
      <c r="G13" s="117">
        <f>[5]STA_SP2_NO!$D$18</f>
        <v>273.67</v>
      </c>
      <c r="H13" s="126">
        <f>[6]STA_SP2_NO!$D$18</f>
        <v>0</v>
      </c>
      <c r="I13" s="117">
        <f>[7]STA_SP2_NO!$D$18</f>
        <v>481</v>
      </c>
      <c r="J13" s="68">
        <f>[8]STA_SP2_NO!$D$18</f>
        <v>508</v>
      </c>
      <c r="K13" s="62">
        <f>[9]STA_SP2_NO!$D$18</f>
        <v>174.14</v>
      </c>
      <c r="L13" s="68">
        <f>[10]STA_SP2_NO!$D$18</f>
        <v>235</v>
      </c>
      <c r="M13" s="332">
        <f>[11]STA_SP2_NO!$D$18</f>
        <v>0</v>
      </c>
      <c r="N13" s="249">
        <f t="shared" si="0"/>
        <v>2639.72</v>
      </c>
    </row>
    <row r="14" spans="1:14" ht="23.25" thickBot="1" x14ac:dyDescent="0.3">
      <c r="A14" s="32">
        <v>9</v>
      </c>
      <c r="B14" s="53" t="s">
        <v>46</v>
      </c>
      <c r="C14" s="61">
        <f>[1]STA_SP2_NO!$D$19</f>
        <v>0</v>
      </c>
      <c r="D14" s="68">
        <f>[2]STA_SP2_NO!$D$19</f>
        <v>0</v>
      </c>
      <c r="E14" s="117">
        <f>[3]STA_SP2_NO!$D$19</f>
        <v>0</v>
      </c>
      <c r="F14" s="126">
        <f>[4]STA_SP2_NO!$D$19</f>
        <v>0</v>
      </c>
      <c r="G14" s="117">
        <f>[5]STA_SP2_NO!$D$19</f>
        <v>0</v>
      </c>
      <c r="H14" s="126">
        <f>[6]STA_SP2_NO!$D$19</f>
        <v>0</v>
      </c>
      <c r="I14" s="117">
        <f>[7]STA_SP2_NO!$D$19</f>
        <v>0</v>
      </c>
      <c r="J14" s="68">
        <f>[8]STA_SP2_NO!$D$19</f>
        <v>0</v>
      </c>
      <c r="K14" s="62">
        <f>[9]STA_SP2_NO!$D$19</f>
        <v>0</v>
      </c>
      <c r="L14" s="68">
        <f>[10]STA_SP2_NO!$D$19</f>
        <v>0</v>
      </c>
      <c r="M14" s="332">
        <f>[11]STA_SP2_NO!$D$19</f>
        <v>0</v>
      </c>
      <c r="N14" s="249">
        <f t="shared" si="0"/>
        <v>0</v>
      </c>
    </row>
    <row r="15" spans="1:14" ht="23.25" thickBot="1" x14ac:dyDescent="0.3">
      <c r="A15" s="32">
        <v>10</v>
      </c>
      <c r="B15" s="53" t="s">
        <v>47</v>
      </c>
      <c r="C15" s="61">
        <f>[1]STA_SP2_NO!$D$20</f>
        <v>0</v>
      </c>
      <c r="D15" s="68">
        <f>[2]STA_SP2_NO!$D$20</f>
        <v>0</v>
      </c>
      <c r="E15" s="117">
        <f>[3]STA_SP2_NO!$D$20</f>
        <v>0</v>
      </c>
      <c r="F15" s="126">
        <f>[4]STA_SP2_NO!$D$20</f>
        <v>0</v>
      </c>
      <c r="G15" s="117">
        <f>[5]STA_SP2_NO!$D$20</f>
        <v>0</v>
      </c>
      <c r="H15" s="126">
        <f>[6]STA_SP2_NO!$D$20</f>
        <v>0</v>
      </c>
      <c r="I15" s="117">
        <f>[7]STA_SP2_NO!$D$20</f>
        <v>0</v>
      </c>
      <c r="J15" s="68">
        <f>[8]STA_SP2_NO!$D$20</f>
        <v>0</v>
      </c>
      <c r="K15" s="62">
        <f>[9]STA_SP2_NO!$D$20</f>
        <v>0</v>
      </c>
      <c r="L15" s="68">
        <f>[10]STA_SP2_NO!$D$20</f>
        <v>0</v>
      </c>
      <c r="M15" s="332">
        <f>[11]STA_SP2_NO!$D$20</f>
        <v>0</v>
      </c>
      <c r="N15" s="249">
        <f t="shared" si="0"/>
        <v>0</v>
      </c>
    </row>
    <row r="16" spans="1:14" ht="15.75" thickBot="1" x14ac:dyDescent="0.3">
      <c r="A16" s="32">
        <v>11</v>
      </c>
      <c r="B16" s="33" t="s">
        <v>48</v>
      </c>
      <c r="C16" s="61">
        <f>[1]STA_SP2_NO!$D$21</f>
        <v>0</v>
      </c>
      <c r="D16" s="68">
        <f>[2]STA_SP2_NO!$D$21</f>
        <v>0</v>
      </c>
      <c r="E16" s="117">
        <f>[3]STA_SP2_NO!$D$21</f>
        <v>0</v>
      </c>
      <c r="F16" s="126">
        <f>[4]STA_SP2_NO!$D$21</f>
        <v>0</v>
      </c>
      <c r="G16" s="117">
        <f>[5]STA_SP2_NO!$D$21</f>
        <v>101.06</v>
      </c>
      <c r="H16" s="126">
        <f>[6]STA_SP2_NO!$D$21</f>
        <v>0</v>
      </c>
      <c r="I16" s="117">
        <f>[7]STA_SP2_NO!$D$21</f>
        <v>0</v>
      </c>
      <c r="J16" s="68">
        <f>[8]STA_SP2_NO!$D$21</f>
        <v>0</v>
      </c>
      <c r="K16" s="62">
        <f>[9]STA_SP2_NO!$D$21</f>
        <v>0</v>
      </c>
      <c r="L16" s="68">
        <f>[10]STA_SP2_NO!$D$21</f>
        <v>0</v>
      </c>
      <c r="M16" s="332">
        <f>[11]STA_SP2_NO!$D$21</f>
        <v>0</v>
      </c>
      <c r="N16" s="249">
        <f t="shared" si="0"/>
        <v>101.06</v>
      </c>
    </row>
    <row r="17" spans="1:14" ht="57" thickBot="1" x14ac:dyDescent="0.3">
      <c r="A17" s="32">
        <v>12</v>
      </c>
      <c r="B17" s="53" t="s">
        <v>49</v>
      </c>
      <c r="C17" s="61">
        <f>[1]STA_SP2_NO!$D$22</f>
        <v>0</v>
      </c>
      <c r="D17" s="68">
        <f>[2]STA_SP2_NO!$D$22</f>
        <v>0</v>
      </c>
      <c r="E17" s="117">
        <f>[3]STA_SP2_NO!$D$22</f>
        <v>0</v>
      </c>
      <c r="F17" s="126">
        <f>[4]STA_SP2_NO!$D$22</f>
        <v>0</v>
      </c>
      <c r="G17" s="117">
        <f>[5]STA_SP2_NO!$D$22</f>
        <v>0</v>
      </c>
      <c r="H17" s="126">
        <f>[6]STA_SP2_NO!$D$22</f>
        <v>0</v>
      </c>
      <c r="I17" s="117">
        <f>[7]STA_SP2_NO!$D$22</f>
        <v>0</v>
      </c>
      <c r="J17" s="68">
        <f>[8]STA_SP2_NO!$D$22</f>
        <v>0</v>
      </c>
      <c r="K17" s="62">
        <f>[9]STA_SP2_NO!$D$22</f>
        <v>0</v>
      </c>
      <c r="L17" s="68">
        <f>[10]STA_SP2_NO!$D$22</f>
        <v>0</v>
      </c>
      <c r="M17" s="386">
        <f>[11]STA_SP2_NO!$D$22</f>
        <v>0</v>
      </c>
      <c r="N17" s="249">
        <f t="shared" si="0"/>
        <v>0</v>
      </c>
    </row>
    <row r="18" spans="1:14" ht="34.5" thickBot="1" x14ac:dyDescent="0.3">
      <c r="A18" s="32">
        <v>13</v>
      </c>
      <c r="B18" s="53" t="s">
        <v>50</v>
      </c>
      <c r="C18" s="61">
        <f>[1]STA_SP2_NO!$D$23</f>
        <v>131.55000000000001</v>
      </c>
      <c r="D18" s="68">
        <f>[2]STA_SP2_NO!$D$23</f>
        <v>0</v>
      </c>
      <c r="E18" s="117">
        <f>[3]STA_SP2_NO!$D$23</f>
        <v>0</v>
      </c>
      <c r="F18" s="126">
        <f>[4]STA_SP2_NO!$D$23</f>
        <v>0</v>
      </c>
      <c r="G18" s="117">
        <f>[5]STA_SP2_NO!$D$23</f>
        <v>105.06</v>
      </c>
      <c r="H18" s="126">
        <f>[6]STA_SP2_NO!$D$23</f>
        <v>0</v>
      </c>
      <c r="I18" s="117">
        <f>[7]STA_SP2_NO!$D$23</f>
        <v>0</v>
      </c>
      <c r="J18" s="68">
        <f>[8]STA_SP2_NO!$D$23</f>
        <v>0</v>
      </c>
      <c r="K18" s="62">
        <f>[9]STA_SP2_NO!$D$23</f>
        <v>0</v>
      </c>
      <c r="L18" s="68">
        <f>[10]STA_SP2_NO!$D$23</f>
        <v>4</v>
      </c>
      <c r="M18" s="386">
        <f>[11]STA_SP2_NO!$D$23</f>
        <v>0</v>
      </c>
      <c r="N18" s="249">
        <f t="shared" si="0"/>
        <v>240.61</v>
      </c>
    </row>
    <row r="19" spans="1:14" ht="15.75" thickBot="1" x14ac:dyDescent="0.3">
      <c r="A19" s="36"/>
      <c r="B19" s="37" t="s">
        <v>36</v>
      </c>
      <c r="C19" s="41">
        <f t="shared" ref="C19:E19" si="1">SUM(C6:C18)</f>
        <v>151989.88</v>
      </c>
      <c r="D19" s="42">
        <f>SUM(D6:D18)</f>
        <v>75907.60000000002</v>
      </c>
      <c r="E19" s="41">
        <f t="shared" si="1"/>
        <v>50895</v>
      </c>
      <c r="F19" s="39">
        <f t="shared" ref="F19:N19" si="2">SUM(F6:F18)</f>
        <v>94510.86</v>
      </c>
      <c r="G19" s="41">
        <f t="shared" si="2"/>
        <v>85535.44</v>
      </c>
      <c r="H19" s="42">
        <f t="shared" si="2"/>
        <v>131239.53</v>
      </c>
      <c r="I19" s="41">
        <f t="shared" si="2"/>
        <v>199274</v>
      </c>
      <c r="J19" s="42">
        <f t="shared" si="2"/>
        <v>106933</v>
      </c>
      <c r="K19" s="41">
        <f t="shared" si="2"/>
        <v>62798.92</v>
      </c>
      <c r="L19" s="42">
        <f t="shared" si="2"/>
        <v>130270</v>
      </c>
      <c r="M19" s="333">
        <f t="shared" si="2"/>
        <v>0</v>
      </c>
      <c r="N19" s="250">
        <f t="shared" si="2"/>
        <v>1089354.2300000002</v>
      </c>
    </row>
    <row r="20" spans="1:14" ht="15.75" thickBot="1" x14ac:dyDescent="0.3">
      <c r="A20" s="1"/>
      <c r="B20" s="1"/>
      <c r="C20" s="1"/>
      <c r="D20" s="1"/>
      <c r="E20" s="1"/>
      <c r="F20" s="1"/>
      <c r="G20" s="341"/>
      <c r="H20" s="1"/>
      <c r="I20" s="341"/>
      <c r="J20" s="1"/>
      <c r="K20" s="341"/>
      <c r="L20" s="1"/>
      <c r="M20" s="341"/>
      <c r="N20" s="1"/>
    </row>
    <row r="21" spans="1:14" ht="15.75" thickBot="1" x14ac:dyDescent="0.3">
      <c r="A21" s="457" t="s">
        <v>52</v>
      </c>
      <c r="B21" s="529"/>
      <c r="C21" s="55">
        <f>C19/N19</f>
        <v>0.13952291716900936</v>
      </c>
      <c r="D21" s="56">
        <f>D19/N19</f>
        <v>6.9681282643938511E-2</v>
      </c>
      <c r="E21" s="48">
        <f>E19/N19</f>
        <v>4.6720339994457072E-2</v>
      </c>
      <c r="F21" s="47">
        <f>F19/N19</f>
        <v>8.6758611108528019E-2</v>
      </c>
      <c r="G21" s="70">
        <f>G19/N19</f>
        <v>7.8519399516170221E-2</v>
      </c>
      <c r="H21" s="47">
        <f>H19/N19</f>
        <v>0.12047461366171036</v>
      </c>
      <c r="I21" s="70">
        <f>I19/N19</f>
        <v>0.18292855942735906</v>
      </c>
      <c r="J21" s="47">
        <f>J19/N19</f>
        <v>9.816182565335059E-2</v>
      </c>
      <c r="K21" s="70">
        <f>K19/N19</f>
        <v>5.7647841510653504E-2</v>
      </c>
      <c r="L21" s="47">
        <f>L19/N19</f>
        <v>0.11958460931482312</v>
      </c>
      <c r="M21" s="342">
        <f>M19/N19</f>
        <v>0</v>
      </c>
      <c r="N21" s="258">
        <f>SUM(C21:M21)</f>
        <v>0.99999999999999978</v>
      </c>
    </row>
  </sheetData>
  <mergeCells count="17">
    <mergeCell ref="C1:K1"/>
    <mergeCell ref="A2:A5"/>
    <mergeCell ref="B2:B5"/>
    <mergeCell ref="A21:B21"/>
    <mergeCell ref="H3:H5"/>
    <mergeCell ref="I3:I5"/>
    <mergeCell ref="J3:J5"/>
    <mergeCell ref="K3:K5"/>
    <mergeCell ref="N2:N5"/>
    <mergeCell ref="C3:C5"/>
    <mergeCell ref="D3:D5"/>
    <mergeCell ref="E3:E5"/>
    <mergeCell ref="F3:F5"/>
    <mergeCell ref="G3:G5"/>
    <mergeCell ref="L3:L5"/>
    <mergeCell ref="C2:M2"/>
    <mergeCell ref="M3:M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Премија</vt:lpstr>
      <vt:lpstr>Број на склучени договори</vt:lpstr>
      <vt:lpstr>Ликвидирани штети</vt:lpstr>
      <vt:lpstr>Број на ликвидирани штети</vt:lpstr>
      <vt:lpstr>Број на резервирани штети</vt:lpstr>
      <vt:lpstr>Резервации</vt:lpstr>
      <vt:lpstr>Не пријавени штети</vt:lpstr>
      <vt:lpstr>ЗАО договори</vt:lpstr>
      <vt:lpstr>ЗАО Премија</vt:lpstr>
      <vt:lpstr>ЗК Број Премија</vt:lpstr>
      <vt:lpstr>ГР Број и Премија </vt:lpstr>
      <vt:lpstr>ЗАО број Лик штети</vt:lpstr>
      <vt:lpstr>ЗАО Ликвидирани штети</vt:lpstr>
      <vt:lpstr>ЗК број и штети</vt:lpstr>
      <vt:lpstr>ГР Број Штети</vt:lpstr>
      <vt:lpstr>Техничка премија</vt:lpstr>
      <vt:lpstr>Рез за настанати при штети</vt:lpstr>
      <vt:lpstr>Продажба по канали</vt:lpstr>
      <vt:lpstr>Бруто тех</vt:lpstr>
      <vt:lpstr>Вкупно</vt:lpstr>
      <vt:lpstr>Преносна премија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BetiMitrovska</dc:creator>
  <cp:lastModifiedBy>Viktorija</cp:lastModifiedBy>
  <cp:lastPrinted>2026-02-16T14:54:57Z</cp:lastPrinted>
  <dcterms:created xsi:type="dcterms:W3CDTF">2013-08-27T07:05:34Z</dcterms:created>
  <dcterms:modified xsi:type="dcterms:W3CDTF">2026-05-20T13:04:50Z</dcterms:modified>
</cp:coreProperties>
</file>