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955" windowWidth="20115" windowHeight="1185"/>
  </bookViews>
  <sheets>
    <sheet name="Премија" sheetId="1" r:id="rId1"/>
    <sheet name="Број на склучени договори" sheetId="2" r:id="rId2"/>
    <sheet name="Ликвидирани штети" sheetId="3" r:id="rId3"/>
    <sheet name="Број на ликвидирани штети" sheetId="4" r:id="rId4"/>
    <sheet name="Број на резервирани штети" sheetId="5" r:id="rId5"/>
    <sheet name="Резервации" sheetId="6" r:id="rId6"/>
    <sheet name="Не пријавени штети" sheetId="58" r:id="rId7"/>
    <sheet name="ЗАО договори" sheetId="8" r:id="rId8"/>
    <sheet name="ЗАО Премија" sheetId="9" r:id="rId9"/>
    <sheet name="ЗК Број Премија" sheetId="12" r:id="rId10"/>
    <sheet name="ГР Број и Премија " sheetId="53" r:id="rId11"/>
    <sheet name="ЗАО број Лик штети" sheetId="32" r:id="rId12"/>
    <sheet name="ЗАО Ликвидирани штети" sheetId="31" r:id="rId13"/>
    <sheet name="ЗК број и штети" sheetId="30" r:id="rId14"/>
    <sheet name="ГР Број Штети" sheetId="29" r:id="rId15"/>
    <sheet name="Техничка премија" sheetId="10" r:id="rId16"/>
    <sheet name="Рез за настанати при штети" sheetId="17" r:id="rId17"/>
    <sheet name="Продажба по канали" sheetId="34" r:id="rId18"/>
    <sheet name="Бруто тех" sheetId="47" r:id="rId19"/>
    <sheet name="Вкупно" sheetId="57" r:id="rId20"/>
    <sheet name="Преносна премија" sheetId="59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calcPr calcId="145621"/>
</workbook>
</file>

<file path=xl/calcChain.xml><?xml version="1.0" encoding="utf-8"?>
<calcChain xmlns="http://schemas.openxmlformats.org/spreadsheetml/2006/main">
  <c r="M21" i="59" l="1"/>
  <c r="M20" i="59"/>
  <c r="M19" i="59"/>
  <c r="M18" i="59"/>
  <c r="M17" i="59"/>
  <c r="M16" i="59"/>
  <c r="M15" i="59"/>
  <c r="M14" i="59"/>
  <c r="M13" i="59"/>
  <c r="M12" i="59"/>
  <c r="M11" i="59"/>
  <c r="M10" i="59"/>
  <c r="M9" i="59"/>
  <c r="M8" i="59"/>
  <c r="M7" i="59"/>
  <c r="M6" i="59"/>
  <c r="M5" i="59"/>
  <c r="M4" i="59"/>
  <c r="L21" i="59"/>
  <c r="N21" i="59" s="1"/>
  <c r="L20" i="59"/>
  <c r="L19" i="59"/>
  <c r="L18" i="59"/>
  <c r="L17" i="59"/>
  <c r="L16" i="59"/>
  <c r="L15" i="59"/>
  <c r="L14" i="59"/>
  <c r="N14" i="59" s="1"/>
  <c r="L13" i="59"/>
  <c r="L12" i="59"/>
  <c r="L11" i="59"/>
  <c r="L10" i="59"/>
  <c r="L9" i="59"/>
  <c r="L8" i="59"/>
  <c r="L7" i="59"/>
  <c r="L6" i="59"/>
  <c r="L5" i="59"/>
  <c r="L4" i="59"/>
  <c r="K21" i="59"/>
  <c r="K20" i="59"/>
  <c r="K19" i="59"/>
  <c r="K18" i="59"/>
  <c r="K17" i="59"/>
  <c r="K16" i="59"/>
  <c r="K15" i="59"/>
  <c r="K14" i="59"/>
  <c r="K13" i="59"/>
  <c r="K12" i="59"/>
  <c r="K11" i="59"/>
  <c r="K10" i="59"/>
  <c r="K9" i="59"/>
  <c r="K8" i="59"/>
  <c r="K7" i="59"/>
  <c r="K6" i="59"/>
  <c r="K5" i="59"/>
  <c r="K4" i="59"/>
  <c r="J21" i="59"/>
  <c r="J20" i="59"/>
  <c r="J19" i="59"/>
  <c r="J18" i="59"/>
  <c r="J17" i="59"/>
  <c r="J16" i="59"/>
  <c r="J15" i="59"/>
  <c r="J14" i="59"/>
  <c r="J13" i="59"/>
  <c r="J12" i="59"/>
  <c r="J11" i="59"/>
  <c r="J10" i="59"/>
  <c r="J9" i="59"/>
  <c r="J8" i="59"/>
  <c r="J7" i="59"/>
  <c r="J6" i="59"/>
  <c r="J22" i="59" s="1"/>
  <c r="J5" i="59"/>
  <c r="J4" i="59"/>
  <c r="H21" i="59"/>
  <c r="H20" i="59"/>
  <c r="H19" i="59"/>
  <c r="H18" i="59"/>
  <c r="H17" i="59"/>
  <c r="H16" i="59"/>
  <c r="H15" i="59"/>
  <c r="H14" i="59"/>
  <c r="H13" i="59"/>
  <c r="H12" i="59"/>
  <c r="H11" i="59"/>
  <c r="H10" i="59"/>
  <c r="H9" i="59"/>
  <c r="H8" i="59"/>
  <c r="H7" i="59"/>
  <c r="H6" i="59"/>
  <c r="H5" i="59"/>
  <c r="H4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6" i="59"/>
  <c r="G5" i="59"/>
  <c r="G4" i="59"/>
  <c r="F21" i="59"/>
  <c r="F20" i="59"/>
  <c r="F19" i="59"/>
  <c r="F18" i="59"/>
  <c r="F17" i="59"/>
  <c r="F16" i="59"/>
  <c r="F15" i="59"/>
  <c r="F14" i="59"/>
  <c r="F13" i="59"/>
  <c r="F12" i="59"/>
  <c r="F11" i="59"/>
  <c r="F10" i="59"/>
  <c r="F9" i="59"/>
  <c r="F8" i="59"/>
  <c r="F7" i="59"/>
  <c r="F6" i="59"/>
  <c r="F5" i="59"/>
  <c r="F4" i="59"/>
  <c r="E21" i="59"/>
  <c r="E20" i="59"/>
  <c r="E19" i="59"/>
  <c r="E18" i="59"/>
  <c r="E17" i="59"/>
  <c r="E16" i="59"/>
  <c r="E15" i="59"/>
  <c r="E14" i="59"/>
  <c r="E13" i="59"/>
  <c r="N13" i="59" s="1"/>
  <c r="E12" i="59"/>
  <c r="E11" i="59"/>
  <c r="E10" i="59"/>
  <c r="E9" i="59"/>
  <c r="E8" i="59"/>
  <c r="E7" i="59"/>
  <c r="E6" i="59"/>
  <c r="E5" i="59"/>
  <c r="E4" i="59"/>
  <c r="D21" i="59"/>
  <c r="D20" i="59"/>
  <c r="D19" i="59"/>
  <c r="D18" i="59"/>
  <c r="D17" i="59"/>
  <c r="D16" i="59"/>
  <c r="D15" i="59"/>
  <c r="D14" i="59"/>
  <c r="D13" i="59"/>
  <c r="D12" i="59"/>
  <c r="D11" i="59"/>
  <c r="D10" i="59"/>
  <c r="D9" i="59"/>
  <c r="D8" i="59"/>
  <c r="D7" i="59"/>
  <c r="D6" i="59"/>
  <c r="D5" i="59"/>
  <c r="D4" i="59"/>
  <c r="C21" i="59"/>
  <c r="C20" i="59"/>
  <c r="C19" i="59"/>
  <c r="C18" i="59"/>
  <c r="C17" i="59"/>
  <c r="C16" i="59"/>
  <c r="C15" i="59"/>
  <c r="C14" i="59"/>
  <c r="C13" i="59"/>
  <c r="C12" i="59"/>
  <c r="C11" i="59"/>
  <c r="N11" i="59" s="1"/>
  <c r="C10" i="59"/>
  <c r="C9" i="59"/>
  <c r="N9" i="59" s="1"/>
  <c r="C8" i="59"/>
  <c r="C7" i="59"/>
  <c r="C6" i="59"/>
  <c r="C5" i="59"/>
  <c r="N20" i="59"/>
  <c r="C4" i="59"/>
  <c r="N4" i="59" s="1"/>
  <c r="I21" i="59"/>
  <c r="I20" i="59"/>
  <c r="I19" i="59"/>
  <c r="I18" i="59"/>
  <c r="I17" i="59"/>
  <c r="I16" i="59"/>
  <c r="I15" i="59"/>
  <c r="I14" i="59"/>
  <c r="I13" i="59"/>
  <c r="I12" i="59"/>
  <c r="I11" i="59"/>
  <c r="I10" i="59"/>
  <c r="I9" i="59"/>
  <c r="I8" i="59"/>
  <c r="I7" i="59"/>
  <c r="I6" i="59"/>
  <c r="I5" i="59"/>
  <c r="I4" i="59"/>
  <c r="N19" i="59"/>
  <c r="N18" i="59"/>
  <c r="N17" i="59"/>
  <c r="N16" i="59"/>
  <c r="N15" i="59"/>
  <c r="N12" i="59"/>
  <c r="N10" i="59"/>
  <c r="N8" i="59"/>
  <c r="N7" i="59"/>
  <c r="N6" i="59"/>
  <c r="N5" i="59"/>
  <c r="M22" i="59"/>
  <c r="K22" i="59"/>
  <c r="H22" i="59"/>
  <c r="G22" i="59"/>
  <c r="F22" i="59"/>
  <c r="D22" i="59"/>
  <c r="L22" i="59" l="1"/>
  <c r="E22" i="59"/>
  <c r="I22" i="59"/>
  <c r="N22" i="59"/>
  <c r="M24" i="59" s="1"/>
  <c r="C22" i="59"/>
  <c r="J15" i="47"/>
  <c r="F15" i="47"/>
  <c r="E15" i="47"/>
  <c r="D15" i="47"/>
  <c r="C15" i="47"/>
  <c r="K7" i="17"/>
  <c r="K6" i="17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28" i="29"/>
  <c r="K27" i="29"/>
  <c r="K26" i="29"/>
  <c r="K25" i="29"/>
  <c r="K24" i="29"/>
  <c r="K23" i="29"/>
  <c r="K22" i="29"/>
  <c r="K21" i="29"/>
  <c r="K12" i="29"/>
  <c r="K11" i="29"/>
  <c r="K10" i="29"/>
  <c r="K9" i="29"/>
  <c r="K8" i="29"/>
  <c r="K7" i="29"/>
  <c r="K6" i="29"/>
  <c r="K5" i="29"/>
  <c r="K29" i="30"/>
  <c r="K28" i="30"/>
  <c r="K27" i="30"/>
  <c r="K26" i="30"/>
  <c r="K25" i="30"/>
  <c r="K24" i="30"/>
  <c r="K23" i="30"/>
  <c r="K22" i="30"/>
  <c r="K12" i="30"/>
  <c r="K11" i="30"/>
  <c r="K10" i="30"/>
  <c r="K9" i="30"/>
  <c r="K8" i="30"/>
  <c r="K7" i="30"/>
  <c r="K6" i="30"/>
  <c r="K5" i="30"/>
  <c r="K17" i="31"/>
  <c r="K16" i="31"/>
  <c r="K15" i="31"/>
  <c r="K14" i="31"/>
  <c r="K13" i="31"/>
  <c r="K12" i="31"/>
  <c r="K11" i="31"/>
  <c r="K10" i="31"/>
  <c r="K9" i="31"/>
  <c r="K8" i="31"/>
  <c r="K7" i="31"/>
  <c r="K6" i="31"/>
  <c r="K5" i="31"/>
  <c r="K17" i="32"/>
  <c r="K16" i="32"/>
  <c r="K15" i="32"/>
  <c r="K14" i="32"/>
  <c r="K13" i="32"/>
  <c r="K12" i="32"/>
  <c r="K11" i="32"/>
  <c r="K10" i="32"/>
  <c r="K9" i="32"/>
  <c r="K8" i="32"/>
  <c r="K7" i="32"/>
  <c r="K6" i="32"/>
  <c r="K5" i="32"/>
  <c r="K28" i="53"/>
  <c r="K27" i="53"/>
  <c r="K26" i="53"/>
  <c r="K25" i="53"/>
  <c r="K24" i="53"/>
  <c r="K23" i="53"/>
  <c r="K22" i="53"/>
  <c r="K21" i="53"/>
  <c r="K12" i="53"/>
  <c r="K11" i="53"/>
  <c r="K10" i="53"/>
  <c r="K9" i="53"/>
  <c r="K8" i="53"/>
  <c r="K7" i="53"/>
  <c r="K6" i="53"/>
  <c r="K5" i="53"/>
  <c r="K29" i="12"/>
  <c r="K28" i="12"/>
  <c r="K27" i="12"/>
  <c r="K26" i="12"/>
  <c r="K25" i="12"/>
  <c r="K24" i="12"/>
  <c r="K23" i="12"/>
  <c r="K22" i="12"/>
  <c r="K12" i="12"/>
  <c r="K11" i="12"/>
  <c r="K10" i="12"/>
  <c r="K9" i="12"/>
  <c r="K8" i="12"/>
  <c r="K7" i="12"/>
  <c r="K6" i="12"/>
  <c r="K5" i="12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21" i="58"/>
  <c r="K20" i="58"/>
  <c r="K19" i="58"/>
  <c r="K18" i="58"/>
  <c r="K17" i="58"/>
  <c r="K16" i="58"/>
  <c r="K15" i="58"/>
  <c r="K14" i="58"/>
  <c r="K13" i="58"/>
  <c r="K12" i="58"/>
  <c r="K11" i="58"/>
  <c r="K10" i="58"/>
  <c r="K9" i="58"/>
  <c r="K8" i="58"/>
  <c r="K7" i="58"/>
  <c r="K6" i="58"/>
  <c r="K5" i="58"/>
  <c r="K4" i="58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21" i="3"/>
  <c r="K20" i="3"/>
  <c r="K19" i="3"/>
  <c r="K18" i="3"/>
  <c r="K21" i="2"/>
  <c r="K20" i="2"/>
  <c r="K19" i="2"/>
  <c r="K18" i="2"/>
  <c r="K18" i="1"/>
  <c r="K19" i="1"/>
  <c r="K21" i="1"/>
  <c r="K20" i="1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22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E24" i="59" l="1"/>
  <c r="I24" i="59"/>
  <c r="L24" i="59"/>
  <c r="H24" i="59"/>
  <c r="D24" i="59"/>
  <c r="C24" i="59"/>
  <c r="K24" i="59"/>
  <c r="G24" i="59"/>
  <c r="J24" i="59"/>
  <c r="F24" i="59"/>
  <c r="G15" i="47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34" i="34"/>
  <c r="J33" i="34"/>
  <c r="J32" i="34"/>
  <c r="J30" i="34"/>
  <c r="J29" i="34"/>
  <c r="J28" i="34"/>
  <c r="J26" i="34"/>
  <c r="J25" i="34"/>
  <c r="J24" i="34"/>
  <c r="J22" i="34"/>
  <c r="J21" i="34"/>
  <c r="J20" i="34"/>
  <c r="J18" i="34"/>
  <c r="J17" i="34"/>
  <c r="J16" i="34"/>
  <c r="J14" i="34"/>
  <c r="J13" i="34"/>
  <c r="J12" i="34"/>
  <c r="J10" i="34"/>
  <c r="J9" i="34"/>
  <c r="J8" i="34"/>
  <c r="J6" i="34"/>
  <c r="J5" i="34"/>
  <c r="J4" i="34"/>
  <c r="N24" i="59" l="1"/>
  <c r="G6" i="34"/>
  <c r="G5" i="31"/>
  <c r="H5" i="31"/>
  <c r="I5" i="31"/>
  <c r="J5" i="31"/>
  <c r="L5" i="31"/>
  <c r="G6" i="31"/>
  <c r="H6" i="31"/>
  <c r="I6" i="31"/>
  <c r="J6" i="31"/>
  <c r="L6" i="31"/>
  <c r="G7" i="31"/>
  <c r="H7" i="31"/>
  <c r="I7" i="31"/>
  <c r="J7" i="31"/>
  <c r="L7" i="31"/>
  <c r="G8" i="31"/>
  <c r="H8" i="31"/>
  <c r="I8" i="31"/>
  <c r="J8" i="31"/>
  <c r="L8" i="31"/>
  <c r="G9" i="31"/>
  <c r="H9" i="31"/>
  <c r="I9" i="31"/>
  <c r="J9" i="31"/>
  <c r="L9" i="31"/>
  <c r="G10" i="31"/>
  <c r="H10" i="31"/>
  <c r="I10" i="31"/>
  <c r="J10" i="31"/>
  <c r="L10" i="31"/>
  <c r="G11" i="31"/>
  <c r="H11" i="31"/>
  <c r="I11" i="31"/>
  <c r="J11" i="31"/>
  <c r="L11" i="31"/>
  <c r="G12" i="31"/>
  <c r="H12" i="31"/>
  <c r="I12" i="31"/>
  <c r="J12" i="31"/>
  <c r="L12" i="31"/>
  <c r="G13" i="31"/>
  <c r="H13" i="31"/>
  <c r="I13" i="31"/>
  <c r="J13" i="31"/>
  <c r="L13" i="31"/>
  <c r="G14" i="31"/>
  <c r="H14" i="31"/>
  <c r="I14" i="31"/>
  <c r="J14" i="31"/>
  <c r="L14" i="31"/>
  <c r="G15" i="31"/>
  <c r="H15" i="31"/>
  <c r="I15" i="31"/>
  <c r="J15" i="31"/>
  <c r="L15" i="31"/>
  <c r="G16" i="31"/>
  <c r="H16" i="31"/>
  <c r="I16" i="31"/>
  <c r="J16" i="31"/>
  <c r="K18" i="31"/>
  <c r="L16" i="31"/>
  <c r="G17" i="31"/>
  <c r="H17" i="31"/>
  <c r="I17" i="31"/>
  <c r="J17" i="31"/>
  <c r="L17" i="31"/>
  <c r="G5" i="8"/>
  <c r="H18" i="31" l="1"/>
  <c r="L18" i="31"/>
  <c r="J18" i="31"/>
  <c r="G18" i="31"/>
  <c r="I18" i="31"/>
  <c r="L10" i="34"/>
  <c r="L34" i="34" l="1"/>
  <c r="L33" i="34"/>
  <c r="L32" i="34"/>
  <c r="L30" i="34"/>
  <c r="L29" i="34"/>
  <c r="L28" i="34"/>
  <c r="L26" i="34"/>
  <c r="L25" i="34"/>
  <c r="L24" i="34"/>
  <c r="L22" i="34"/>
  <c r="L21" i="34"/>
  <c r="L20" i="34"/>
  <c r="L18" i="34"/>
  <c r="L17" i="34"/>
  <c r="L16" i="34"/>
  <c r="L12" i="34"/>
  <c r="L14" i="34"/>
  <c r="L13" i="34"/>
  <c r="L9" i="34"/>
  <c r="L8" i="34"/>
  <c r="L6" i="34"/>
  <c r="L5" i="34"/>
  <c r="L4" i="34"/>
  <c r="I6" i="47" l="1"/>
  <c r="H6" i="47"/>
  <c r="J17" i="47"/>
  <c r="F17" i="47"/>
  <c r="E17" i="47"/>
  <c r="D17" i="47"/>
  <c r="C17" i="47"/>
  <c r="M7" i="17"/>
  <c r="M6" i="17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28" i="29"/>
  <c r="M27" i="29"/>
  <c r="M26" i="29"/>
  <c r="M25" i="29"/>
  <c r="M24" i="29"/>
  <c r="M23" i="29"/>
  <c r="M22" i="29"/>
  <c r="M21" i="29"/>
  <c r="M12" i="29"/>
  <c r="M11" i="29"/>
  <c r="M10" i="29"/>
  <c r="M9" i="29"/>
  <c r="M8" i="29"/>
  <c r="M7" i="29"/>
  <c r="M6" i="29"/>
  <c r="M5" i="29"/>
  <c r="M29" i="30"/>
  <c r="M28" i="30"/>
  <c r="M27" i="30"/>
  <c r="M26" i="30"/>
  <c r="M25" i="30"/>
  <c r="M24" i="30"/>
  <c r="M23" i="30"/>
  <c r="M22" i="30"/>
  <c r="M12" i="30"/>
  <c r="M11" i="30"/>
  <c r="M10" i="30"/>
  <c r="M9" i="30"/>
  <c r="M8" i="30"/>
  <c r="M7" i="30"/>
  <c r="M6" i="30"/>
  <c r="M5" i="30"/>
  <c r="M13" i="29" l="1"/>
  <c r="M13" i="30"/>
  <c r="M30" i="30"/>
  <c r="M29" i="29"/>
  <c r="M22" i="10"/>
  <c r="G17" i="47"/>
  <c r="K17" i="47" s="1"/>
  <c r="M17" i="31"/>
  <c r="M16" i="31"/>
  <c r="M15" i="31"/>
  <c r="M14" i="31"/>
  <c r="M13" i="31"/>
  <c r="M12" i="31"/>
  <c r="M11" i="31"/>
  <c r="M10" i="31"/>
  <c r="M9" i="31"/>
  <c r="M8" i="31"/>
  <c r="M7" i="31"/>
  <c r="M6" i="31"/>
  <c r="M5" i="31"/>
  <c r="M17" i="32"/>
  <c r="M16" i="32"/>
  <c r="M15" i="32"/>
  <c r="M14" i="32"/>
  <c r="M13" i="32"/>
  <c r="M12" i="32"/>
  <c r="M11" i="32"/>
  <c r="M10" i="32"/>
  <c r="M9" i="32"/>
  <c r="M8" i="32"/>
  <c r="M7" i="32"/>
  <c r="M6" i="32"/>
  <c r="M5" i="32"/>
  <c r="M28" i="53"/>
  <c r="M27" i="53"/>
  <c r="M26" i="53"/>
  <c r="M25" i="53"/>
  <c r="M24" i="53"/>
  <c r="M23" i="53"/>
  <c r="M22" i="53"/>
  <c r="M21" i="53"/>
  <c r="M12" i="53"/>
  <c r="M11" i="53"/>
  <c r="M10" i="53"/>
  <c r="M9" i="53"/>
  <c r="M8" i="53"/>
  <c r="M7" i="53"/>
  <c r="M6" i="53"/>
  <c r="M5" i="53"/>
  <c r="M29" i="12"/>
  <c r="M28" i="12"/>
  <c r="M27" i="12"/>
  <c r="M26" i="12"/>
  <c r="M25" i="12"/>
  <c r="M24" i="12"/>
  <c r="M23" i="12"/>
  <c r="M22" i="12"/>
  <c r="M12" i="12"/>
  <c r="M11" i="12"/>
  <c r="M10" i="12"/>
  <c r="M9" i="12"/>
  <c r="M8" i="12"/>
  <c r="M7" i="12"/>
  <c r="M6" i="12"/>
  <c r="M5" i="12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5" i="58"/>
  <c r="M7" i="58"/>
  <c r="M8" i="58"/>
  <c r="M9" i="58"/>
  <c r="M10" i="58"/>
  <c r="M14" i="58"/>
  <c r="M15" i="58"/>
  <c r="M21" i="58"/>
  <c r="M20" i="58"/>
  <c r="M19" i="58"/>
  <c r="M18" i="58"/>
  <c r="M17" i="58"/>
  <c r="M16" i="58"/>
  <c r="M13" i="58"/>
  <c r="M12" i="58"/>
  <c r="M11" i="58"/>
  <c r="M6" i="58"/>
  <c r="M4" i="58"/>
  <c r="H28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13" i="12" l="1"/>
  <c r="M30" i="12"/>
  <c r="M13" i="53"/>
  <c r="M29" i="53"/>
  <c r="M18" i="8"/>
  <c r="M22" i="5"/>
  <c r="M19" i="9"/>
  <c r="M18" i="32"/>
  <c r="M22" i="4"/>
  <c r="M22" i="6"/>
  <c r="M18" i="31"/>
  <c r="M22" i="58"/>
  <c r="M22" i="3"/>
  <c r="M6" i="1"/>
  <c r="M5" i="1"/>
  <c r="M4" i="1"/>
  <c r="M22" i="1" s="1"/>
  <c r="C7" i="10" l="1"/>
  <c r="I24" i="47" l="1"/>
  <c r="F24" i="47"/>
  <c r="E24" i="47"/>
  <c r="G24" i="47" s="1"/>
  <c r="D24" i="47"/>
  <c r="C24" i="47"/>
  <c r="J18" i="47"/>
  <c r="H18" i="47"/>
  <c r="H13" i="17"/>
  <c r="H12" i="17"/>
  <c r="H28" i="10"/>
  <c r="H28" i="58"/>
  <c r="H28" i="5"/>
  <c r="H28" i="4"/>
  <c r="H28" i="3"/>
  <c r="H28" i="2"/>
  <c r="H28" i="1"/>
  <c r="K24" i="47" l="1"/>
  <c r="F28" i="2" l="1"/>
  <c r="J15" i="6" l="1"/>
  <c r="I20" i="6"/>
  <c r="C23" i="47" l="1"/>
  <c r="I21" i="47" l="1"/>
  <c r="F21" i="47"/>
  <c r="E21" i="47"/>
  <c r="D21" i="47"/>
  <c r="C21" i="47"/>
  <c r="E13" i="17"/>
  <c r="E12" i="17"/>
  <c r="E28" i="10"/>
  <c r="E28" i="58"/>
  <c r="E28" i="6"/>
  <c r="E28" i="5"/>
  <c r="F28" i="4"/>
  <c r="E28" i="4"/>
  <c r="E28" i="3"/>
  <c r="E28" i="2"/>
  <c r="E28" i="1"/>
  <c r="G7" i="1"/>
  <c r="G13" i="1"/>
  <c r="G21" i="47" l="1"/>
  <c r="J16" i="47" l="1"/>
  <c r="F16" i="47"/>
  <c r="E16" i="47"/>
  <c r="D16" i="47"/>
  <c r="C16" i="47"/>
  <c r="K34" i="34"/>
  <c r="K33" i="34"/>
  <c r="K32" i="34"/>
  <c r="K30" i="34"/>
  <c r="K29" i="34"/>
  <c r="K28" i="34"/>
  <c r="K26" i="34"/>
  <c r="K25" i="34"/>
  <c r="K24" i="34"/>
  <c r="K22" i="34"/>
  <c r="K21" i="34"/>
  <c r="K20" i="34"/>
  <c r="K18" i="34"/>
  <c r="K17" i="34"/>
  <c r="K16" i="34"/>
  <c r="K14" i="34"/>
  <c r="K13" i="34"/>
  <c r="K12" i="34"/>
  <c r="K10" i="34"/>
  <c r="K9" i="34"/>
  <c r="K8" i="34"/>
  <c r="K6" i="34"/>
  <c r="K5" i="34"/>
  <c r="K4" i="34"/>
  <c r="L7" i="17"/>
  <c r="L6" i="17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28" i="29"/>
  <c r="L27" i="29"/>
  <c r="L26" i="29"/>
  <c r="L25" i="29"/>
  <c r="L24" i="29"/>
  <c r="L23" i="29"/>
  <c r="L22" i="29"/>
  <c r="L21" i="29"/>
  <c r="L12" i="29"/>
  <c r="L11" i="29"/>
  <c r="L10" i="29"/>
  <c r="L9" i="29"/>
  <c r="L8" i="29"/>
  <c r="L7" i="29"/>
  <c r="L6" i="29"/>
  <c r="L5" i="29"/>
  <c r="L29" i="30"/>
  <c r="L28" i="30"/>
  <c r="L27" i="30"/>
  <c r="L26" i="30"/>
  <c r="L25" i="30"/>
  <c r="L24" i="30"/>
  <c r="L23" i="30"/>
  <c r="L22" i="30"/>
  <c r="L12" i="30"/>
  <c r="L11" i="30"/>
  <c r="L10" i="30"/>
  <c r="L9" i="30"/>
  <c r="L8" i="30"/>
  <c r="L7" i="30"/>
  <c r="L6" i="30"/>
  <c r="L5" i="30"/>
  <c r="L17" i="32"/>
  <c r="L16" i="32"/>
  <c r="L15" i="32"/>
  <c r="L14" i="32"/>
  <c r="L13" i="32"/>
  <c r="L12" i="32"/>
  <c r="L11" i="32"/>
  <c r="L10" i="32"/>
  <c r="L9" i="32"/>
  <c r="L8" i="32"/>
  <c r="L7" i="32"/>
  <c r="L6" i="32"/>
  <c r="L5" i="32"/>
  <c r="L28" i="53"/>
  <c r="L27" i="53"/>
  <c r="L26" i="53"/>
  <c r="L25" i="53"/>
  <c r="L24" i="53"/>
  <c r="L23" i="53"/>
  <c r="L22" i="53"/>
  <c r="L21" i="53"/>
  <c r="L12" i="53"/>
  <c r="L11" i="53"/>
  <c r="L10" i="53"/>
  <c r="L9" i="53"/>
  <c r="L8" i="53"/>
  <c r="L7" i="53"/>
  <c r="L6" i="53"/>
  <c r="L5" i="53"/>
  <c r="L29" i="12"/>
  <c r="L28" i="12"/>
  <c r="L27" i="12"/>
  <c r="L26" i="12"/>
  <c r="L25" i="12"/>
  <c r="L24" i="12"/>
  <c r="L23" i="12"/>
  <c r="L22" i="12"/>
  <c r="L12" i="12"/>
  <c r="L11" i="12"/>
  <c r="L10" i="12"/>
  <c r="L9" i="12"/>
  <c r="L8" i="12"/>
  <c r="L7" i="12"/>
  <c r="L6" i="12"/>
  <c r="L5" i="12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21" i="58"/>
  <c r="L20" i="58"/>
  <c r="L19" i="58"/>
  <c r="L18" i="58"/>
  <c r="L17" i="58"/>
  <c r="L16" i="58"/>
  <c r="L15" i="58"/>
  <c r="L14" i="58"/>
  <c r="L13" i="58"/>
  <c r="L12" i="58"/>
  <c r="L11" i="58"/>
  <c r="L10" i="58"/>
  <c r="L9" i="58"/>
  <c r="L8" i="58"/>
  <c r="L7" i="58"/>
  <c r="L6" i="58"/>
  <c r="L5" i="58"/>
  <c r="L4" i="58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G16" i="47" l="1"/>
  <c r="L22" i="1"/>
  <c r="J14" i="47"/>
  <c r="F14" i="47"/>
  <c r="E14" i="47"/>
  <c r="D14" i="47"/>
  <c r="C14" i="47"/>
  <c r="I34" i="34"/>
  <c r="I33" i="34"/>
  <c r="I32" i="34"/>
  <c r="I30" i="34"/>
  <c r="I29" i="34"/>
  <c r="I28" i="34"/>
  <c r="I26" i="34"/>
  <c r="I25" i="34"/>
  <c r="I24" i="34"/>
  <c r="I22" i="34"/>
  <c r="I21" i="34"/>
  <c r="I20" i="34"/>
  <c r="I18" i="34"/>
  <c r="I17" i="34"/>
  <c r="I16" i="34"/>
  <c r="I14" i="34"/>
  <c r="I13" i="34"/>
  <c r="I12" i="34"/>
  <c r="I10" i="34"/>
  <c r="I9" i="34"/>
  <c r="I8" i="34"/>
  <c r="I6" i="34"/>
  <c r="I5" i="34"/>
  <c r="I4" i="34"/>
  <c r="J7" i="17"/>
  <c r="J6" i="17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28" i="29"/>
  <c r="J27" i="29"/>
  <c r="J26" i="29"/>
  <c r="J25" i="29"/>
  <c r="J24" i="29"/>
  <c r="J23" i="29"/>
  <c r="J22" i="29"/>
  <c r="J21" i="29"/>
  <c r="J12" i="29"/>
  <c r="J11" i="29"/>
  <c r="J10" i="29"/>
  <c r="J9" i="29"/>
  <c r="J8" i="29"/>
  <c r="J7" i="29"/>
  <c r="J6" i="29"/>
  <c r="J5" i="29"/>
  <c r="J29" i="30"/>
  <c r="J28" i="30"/>
  <c r="J27" i="30"/>
  <c r="J26" i="30"/>
  <c r="J25" i="30"/>
  <c r="J24" i="30"/>
  <c r="J23" i="30"/>
  <c r="J22" i="30"/>
  <c r="J12" i="30"/>
  <c r="J11" i="30"/>
  <c r="J10" i="30"/>
  <c r="J9" i="30"/>
  <c r="J8" i="30"/>
  <c r="J7" i="30"/>
  <c r="J6" i="30"/>
  <c r="J5" i="30"/>
  <c r="J17" i="32"/>
  <c r="J16" i="32"/>
  <c r="J15" i="32"/>
  <c r="J14" i="32"/>
  <c r="J13" i="32"/>
  <c r="J12" i="32"/>
  <c r="J11" i="32"/>
  <c r="J10" i="32"/>
  <c r="J9" i="32"/>
  <c r="J8" i="32"/>
  <c r="J7" i="32"/>
  <c r="J6" i="32"/>
  <c r="J5" i="32"/>
  <c r="J28" i="53"/>
  <c r="J27" i="53"/>
  <c r="J26" i="53"/>
  <c r="J25" i="53"/>
  <c r="J24" i="53"/>
  <c r="J23" i="53"/>
  <c r="J22" i="53"/>
  <c r="J21" i="53"/>
  <c r="J12" i="53"/>
  <c r="J11" i="53"/>
  <c r="J10" i="53"/>
  <c r="J9" i="53"/>
  <c r="J8" i="53"/>
  <c r="J7" i="53"/>
  <c r="J6" i="53"/>
  <c r="J5" i="53"/>
  <c r="J29" i="12"/>
  <c r="J28" i="12"/>
  <c r="J27" i="12"/>
  <c r="J26" i="12"/>
  <c r="J25" i="12"/>
  <c r="J24" i="12"/>
  <c r="J23" i="12"/>
  <c r="J22" i="12"/>
  <c r="J12" i="12"/>
  <c r="J11" i="12"/>
  <c r="J10" i="12"/>
  <c r="J9" i="12"/>
  <c r="J8" i="12"/>
  <c r="J7" i="12"/>
  <c r="J6" i="12"/>
  <c r="J5" i="12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21" i="58"/>
  <c r="J20" i="58"/>
  <c r="J19" i="58"/>
  <c r="J18" i="58"/>
  <c r="J17" i="58"/>
  <c r="J16" i="58"/>
  <c r="J15" i="58"/>
  <c r="J14" i="58"/>
  <c r="J13" i="58"/>
  <c r="J12" i="58"/>
  <c r="J11" i="58"/>
  <c r="J10" i="58"/>
  <c r="J9" i="58"/>
  <c r="J8" i="58"/>
  <c r="J7" i="58"/>
  <c r="J6" i="58"/>
  <c r="J5" i="58"/>
  <c r="J4" i="58"/>
  <c r="J21" i="6"/>
  <c r="J20" i="6"/>
  <c r="J19" i="6"/>
  <c r="J18" i="6"/>
  <c r="J17" i="6"/>
  <c r="J16" i="6"/>
  <c r="J14" i="6"/>
  <c r="J13" i="6"/>
  <c r="J12" i="6"/>
  <c r="J11" i="6"/>
  <c r="J10" i="6"/>
  <c r="J9" i="6"/>
  <c r="J8" i="6"/>
  <c r="J7" i="6"/>
  <c r="J6" i="6"/>
  <c r="J5" i="6"/>
  <c r="J4" i="6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13" i="47"/>
  <c r="F13" i="47"/>
  <c r="E13" i="47"/>
  <c r="D13" i="47"/>
  <c r="C13" i="47"/>
  <c r="H34" i="34"/>
  <c r="H33" i="34"/>
  <c r="H32" i="34"/>
  <c r="H30" i="34"/>
  <c r="H29" i="34"/>
  <c r="H28" i="34"/>
  <c r="H26" i="34"/>
  <c r="H25" i="34"/>
  <c r="H24" i="34"/>
  <c r="H22" i="34"/>
  <c r="H21" i="34"/>
  <c r="H20" i="34"/>
  <c r="H18" i="34"/>
  <c r="H17" i="34"/>
  <c r="H16" i="34"/>
  <c r="H14" i="34"/>
  <c r="H13" i="34"/>
  <c r="H12" i="34"/>
  <c r="H10" i="34"/>
  <c r="H9" i="34"/>
  <c r="H8" i="34"/>
  <c r="H6" i="34"/>
  <c r="H5" i="34"/>
  <c r="H4" i="34"/>
  <c r="I7" i="17"/>
  <c r="I6" i="17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28" i="29"/>
  <c r="I27" i="29"/>
  <c r="I26" i="29"/>
  <c r="I25" i="29"/>
  <c r="I24" i="29"/>
  <c r="I23" i="29"/>
  <c r="I22" i="29"/>
  <c r="I21" i="29"/>
  <c r="I12" i="29"/>
  <c r="I11" i="29"/>
  <c r="I10" i="29"/>
  <c r="I9" i="29"/>
  <c r="I8" i="29"/>
  <c r="I7" i="29"/>
  <c r="I6" i="29"/>
  <c r="I5" i="29"/>
  <c r="I29" i="30"/>
  <c r="I28" i="30"/>
  <c r="I27" i="30"/>
  <c r="I26" i="30"/>
  <c r="I25" i="30"/>
  <c r="I24" i="30"/>
  <c r="I23" i="30"/>
  <c r="I22" i="30"/>
  <c r="I12" i="30"/>
  <c r="I11" i="30"/>
  <c r="I10" i="30"/>
  <c r="I9" i="30"/>
  <c r="I8" i="30"/>
  <c r="I7" i="30"/>
  <c r="I6" i="30"/>
  <c r="I5" i="30"/>
  <c r="I17" i="32"/>
  <c r="I16" i="32"/>
  <c r="I15" i="32"/>
  <c r="I14" i="32"/>
  <c r="I13" i="32"/>
  <c r="I12" i="32"/>
  <c r="I11" i="32"/>
  <c r="I10" i="32"/>
  <c r="I9" i="32"/>
  <c r="I8" i="32"/>
  <c r="I7" i="32"/>
  <c r="I6" i="32"/>
  <c r="I5" i="32"/>
  <c r="I28" i="53"/>
  <c r="I27" i="53"/>
  <c r="I26" i="53"/>
  <c r="I25" i="53"/>
  <c r="I24" i="53"/>
  <c r="I23" i="53"/>
  <c r="I22" i="53"/>
  <c r="I21" i="53"/>
  <c r="I12" i="53"/>
  <c r="I11" i="53"/>
  <c r="I10" i="53"/>
  <c r="I9" i="53"/>
  <c r="I8" i="53"/>
  <c r="I7" i="53"/>
  <c r="I6" i="53"/>
  <c r="I5" i="53"/>
  <c r="I29" i="12"/>
  <c r="I28" i="12"/>
  <c r="I27" i="12"/>
  <c r="I26" i="12"/>
  <c r="I25" i="12"/>
  <c r="I24" i="12"/>
  <c r="I23" i="12"/>
  <c r="I22" i="12"/>
  <c r="I12" i="12"/>
  <c r="I11" i="12"/>
  <c r="I10" i="12"/>
  <c r="I9" i="12"/>
  <c r="I8" i="12"/>
  <c r="I7" i="12"/>
  <c r="I6" i="12"/>
  <c r="I5" i="12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" i="58"/>
  <c r="I5" i="58"/>
  <c r="I4" i="58"/>
  <c r="I21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G14" i="34"/>
  <c r="G10" i="34"/>
  <c r="H7" i="17"/>
  <c r="H6" i="17"/>
  <c r="H6" i="1"/>
  <c r="H5" i="1"/>
  <c r="H4" i="1"/>
  <c r="J11" i="47"/>
  <c r="G4" i="1"/>
  <c r="J22" i="1" l="1"/>
  <c r="G13" i="47"/>
  <c r="I22" i="1"/>
  <c r="G14" i="47"/>
  <c r="J30" i="12"/>
  <c r="K13" i="47"/>
  <c r="F4" i="1"/>
  <c r="G28" i="1"/>
  <c r="I22" i="47"/>
  <c r="F22" i="47"/>
  <c r="E22" i="47"/>
  <c r="D22" i="47"/>
  <c r="C22" i="47"/>
  <c r="F13" i="17"/>
  <c r="F12" i="17"/>
  <c r="F28" i="10"/>
  <c r="F28" i="58"/>
  <c r="F28" i="6"/>
  <c r="F28" i="5"/>
  <c r="F28" i="3"/>
  <c r="F28" i="1"/>
  <c r="G22" i="47" l="1"/>
  <c r="I20" i="47"/>
  <c r="F20" i="47"/>
  <c r="E20" i="47"/>
  <c r="D20" i="47"/>
  <c r="C20" i="47"/>
  <c r="D13" i="17"/>
  <c r="D12" i="17"/>
  <c r="D28" i="10"/>
  <c r="D28" i="58"/>
  <c r="D28" i="6"/>
  <c r="D28" i="5"/>
  <c r="D28" i="4"/>
  <c r="D28" i="3"/>
  <c r="D28" i="2"/>
  <c r="D28" i="1"/>
  <c r="J9" i="47"/>
  <c r="F9" i="47"/>
  <c r="E9" i="47"/>
  <c r="D9" i="47"/>
  <c r="C9" i="47"/>
  <c r="D34" i="34"/>
  <c r="D33" i="34"/>
  <c r="D32" i="34"/>
  <c r="D30" i="34"/>
  <c r="D29" i="34"/>
  <c r="D28" i="34"/>
  <c r="D26" i="34"/>
  <c r="D25" i="34"/>
  <c r="D24" i="34"/>
  <c r="D22" i="34"/>
  <c r="D21" i="34"/>
  <c r="D20" i="34"/>
  <c r="D18" i="34"/>
  <c r="D17" i="34"/>
  <c r="D16" i="34"/>
  <c r="D14" i="34"/>
  <c r="D13" i="34"/>
  <c r="D12" i="34"/>
  <c r="D10" i="34"/>
  <c r="D9" i="34"/>
  <c r="D8" i="34"/>
  <c r="D6" i="34"/>
  <c r="D5" i="34"/>
  <c r="D4" i="34"/>
  <c r="E7" i="17"/>
  <c r="E6" i="17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28" i="29"/>
  <c r="E27" i="29"/>
  <c r="E26" i="29"/>
  <c r="E25" i="29"/>
  <c r="E24" i="29"/>
  <c r="E23" i="29"/>
  <c r="E22" i="29"/>
  <c r="E21" i="29"/>
  <c r="E12" i="29"/>
  <c r="E11" i="29"/>
  <c r="E10" i="29"/>
  <c r="E9" i="29"/>
  <c r="E8" i="29"/>
  <c r="E7" i="29"/>
  <c r="E6" i="29"/>
  <c r="E5" i="29"/>
  <c r="E29" i="30"/>
  <c r="E28" i="30"/>
  <c r="E27" i="30"/>
  <c r="E26" i="30"/>
  <c r="E25" i="30"/>
  <c r="E24" i="30"/>
  <c r="E23" i="30"/>
  <c r="E22" i="30"/>
  <c r="E12" i="30"/>
  <c r="E11" i="30"/>
  <c r="E10" i="30"/>
  <c r="E9" i="30"/>
  <c r="E8" i="30"/>
  <c r="E7" i="30"/>
  <c r="E6" i="30"/>
  <c r="E5" i="30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17" i="32"/>
  <c r="E16" i="32"/>
  <c r="E15" i="32"/>
  <c r="E14" i="32"/>
  <c r="E13" i="32"/>
  <c r="E12" i="32"/>
  <c r="E11" i="32"/>
  <c r="E10" i="32"/>
  <c r="E9" i="32"/>
  <c r="E8" i="32"/>
  <c r="E7" i="32"/>
  <c r="E6" i="32"/>
  <c r="E5" i="32"/>
  <c r="E28" i="53"/>
  <c r="E27" i="53"/>
  <c r="E26" i="53"/>
  <c r="E25" i="53"/>
  <c r="E24" i="53"/>
  <c r="E23" i="53"/>
  <c r="E22" i="53"/>
  <c r="E21" i="53"/>
  <c r="E12" i="53"/>
  <c r="E11" i="53"/>
  <c r="E10" i="53"/>
  <c r="E9" i="53"/>
  <c r="E8" i="53"/>
  <c r="E7" i="53"/>
  <c r="E6" i="53"/>
  <c r="E5" i="53"/>
  <c r="E29" i="12"/>
  <c r="E28" i="12"/>
  <c r="E27" i="12"/>
  <c r="E26" i="12"/>
  <c r="E25" i="12"/>
  <c r="E24" i="12"/>
  <c r="E23" i="12"/>
  <c r="E22" i="12"/>
  <c r="E12" i="12"/>
  <c r="E11" i="12"/>
  <c r="E10" i="12"/>
  <c r="E9" i="12"/>
  <c r="E8" i="12"/>
  <c r="E7" i="12"/>
  <c r="E6" i="12"/>
  <c r="E5" i="12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21" i="58"/>
  <c r="E20" i="58"/>
  <c r="E19" i="58"/>
  <c r="E18" i="58"/>
  <c r="E17" i="58"/>
  <c r="E16" i="58"/>
  <c r="E15" i="58"/>
  <c r="E14" i="58"/>
  <c r="E13" i="58"/>
  <c r="E12" i="58"/>
  <c r="E11" i="58"/>
  <c r="E10" i="58"/>
  <c r="E9" i="58"/>
  <c r="E8" i="58"/>
  <c r="E7" i="58"/>
  <c r="E6" i="58"/>
  <c r="E5" i="58"/>
  <c r="E4" i="58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21" i="1"/>
  <c r="E20" i="1"/>
  <c r="E19" i="1"/>
  <c r="E18" i="1"/>
  <c r="E17" i="1"/>
  <c r="E16" i="1"/>
  <c r="E15" i="1"/>
  <c r="E14" i="1"/>
  <c r="E13" i="1"/>
  <c r="E12" i="1"/>
  <c r="J8" i="47"/>
  <c r="F8" i="47"/>
  <c r="E8" i="47"/>
  <c r="D8" i="47"/>
  <c r="C8" i="47"/>
  <c r="C34" i="34"/>
  <c r="C33" i="34"/>
  <c r="C32" i="34"/>
  <c r="C30" i="34"/>
  <c r="C29" i="34"/>
  <c r="C28" i="34"/>
  <c r="C26" i="34"/>
  <c r="C25" i="34"/>
  <c r="C24" i="34"/>
  <c r="C22" i="34"/>
  <c r="C21" i="34"/>
  <c r="C20" i="34"/>
  <c r="C18" i="34"/>
  <c r="C17" i="34"/>
  <c r="C16" i="34"/>
  <c r="C14" i="34"/>
  <c r="C13" i="34"/>
  <c r="C12" i="34"/>
  <c r="C10" i="34"/>
  <c r="C9" i="34"/>
  <c r="C8" i="34"/>
  <c r="C6" i="34"/>
  <c r="C5" i="34"/>
  <c r="C4" i="34"/>
  <c r="D7" i="17"/>
  <c r="D6" i="17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28" i="29"/>
  <c r="D27" i="29"/>
  <c r="D26" i="29"/>
  <c r="D25" i="29"/>
  <c r="D24" i="29"/>
  <c r="D23" i="29"/>
  <c r="D22" i="29"/>
  <c r="D21" i="29"/>
  <c r="D12" i="29"/>
  <c r="D11" i="29"/>
  <c r="D10" i="29"/>
  <c r="D9" i="29"/>
  <c r="D8" i="29"/>
  <c r="D7" i="29"/>
  <c r="D6" i="29"/>
  <c r="D5" i="29"/>
  <c r="D29" i="30"/>
  <c r="D28" i="30"/>
  <c r="D27" i="30"/>
  <c r="D26" i="30"/>
  <c r="D25" i="30"/>
  <c r="D24" i="30"/>
  <c r="D23" i="30"/>
  <c r="D22" i="30"/>
  <c r="D12" i="30"/>
  <c r="D11" i="30"/>
  <c r="D10" i="30"/>
  <c r="D9" i="30"/>
  <c r="D8" i="30"/>
  <c r="D7" i="30"/>
  <c r="D6" i="30"/>
  <c r="D5" i="30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28" i="53"/>
  <c r="D27" i="53"/>
  <c r="D26" i="53"/>
  <c r="D25" i="53"/>
  <c r="D24" i="53"/>
  <c r="D23" i="53"/>
  <c r="D22" i="53"/>
  <c r="D21" i="53"/>
  <c r="D12" i="53"/>
  <c r="D11" i="53"/>
  <c r="D10" i="53"/>
  <c r="D9" i="53"/>
  <c r="D8" i="53"/>
  <c r="D7" i="53"/>
  <c r="D6" i="53"/>
  <c r="D5" i="53"/>
  <c r="D29" i="12"/>
  <c r="D28" i="12"/>
  <c r="D27" i="12"/>
  <c r="D26" i="12"/>
  <c r="D25" i="12"/>
  <c r="D24" i="12"/>
  <c r="D23" i="12"/>
  <c r="D22" i="12"/>
  <c r="D12" i="12"/>
  <c r="D11" i="12"/>
  <c r="D10" i="12"/>
  <c r="D9" i="12"/>
  <c r="D8" i="12"/>
  <c r="D7" i="12"/>
  <c r="D6" i="12"/>
  <c r="D5" i="12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21" i="58"/>
  <c r="D20" i="58"/>
  <c r="D19" i="58"/>
  <c r="D18" i="58"/>
  <c r="D17" i="58"/>
  <c r="D16" i="58"/>
  <c r="D15" i="58"/>
  <c r="D14" i="58"/>
  <c r="D13" i="58"/>
  <c r="D12" i="58"/>
  <c r="D11" i="58"/>
  <c r="D10" i="58"/>
  <c r="D9" i="58"/>
  <c r="D8" i="58"/>
  <c r="D7" i="58"/>
  <c r="D6" i="58"/>
  <c r="D5" i="58"/>
  <c r="D4" i="58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16" i="4"/>
  <c r="D21" i="4"/>
  <c r="D20" i="4"/>
  <c r="D19" i="4"/>
  <c r="D18" i="4"/>
  <c r="D17" i="4"/>
  <c r="D15" i="4"/>
  <c r="D14" i="4"/>
  <c r="D13" i="4"/>
  <c r="D12" i="4"/>
  <c r="D11" i="4"/>
  <c r="D10" i="4"/>
  <c r="D9" i="4"/>
  <c r="D8" i="4"/>
  <c r="D7" i="4"/>
  <c r="D6" i="4"/>
  <c r="D5" i="4"/>
  <c r="D4" i="4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G20" i="47" l="1"/>
  <c r="K20" i="47" s="1"/>
  <c r="G8" i="47"/>
  <c r="G9" i="47"/>
  <c r="G12" i="57"/>
  <c r="G10" i="57"/>
  <c r="G9" i="57" l="1"/>
  <c r="G11" i="57" s="1"/>
  <c r="C4" i="1" l="1"/>
  <c r="E11" i="1" l="1"/>
  <c r="E10" i="1"/>
  <c r="E9" i="1"/>
  <c r="E8" i="1"/>
  <c r="E7" i="1"/>
  <c r="E6" i="1"/>
  <c r="E5" i="1"/>
  <c r="E4" i="1"/>
  <c r="E22" i="2"/>
  <c r="F12" i="57" l="1"/>
  <c r="F10" i="57"/>
  <c r="F9" i="57"/>
  <c r="E12" i="57"/>
  <c r="E10" i="57"/>
  <c r="E9" i="57"/>
  <c r="D12" i="57"/>
  <c r="D10" i="57"/>
  <c r="D9" i="57"/>
  <c r="F11" i="57" l="1"/>
  <c r="D11" i="57"/>
  <c r="E11" i="57"/>
  <c r="K30" i="30" l="1"/>
  <c r="K13" i="30"/>
  <c r="K13" i="29"/>
  <c r="K29" i="29"/>
  <c r="K22" i="10"/>
  <c r="K29" i="53"/>
  <c r="K13" i="53"/>
  <c r="K18" i="32"/>
  <c r="K22" i="1" l="1"/>
  <c r="K13" i="12"/>
  <c r="K22" i="4"/>
  <c r="K22" i="6"/>
  <c r="K18" i="8"/>
  <c r="K22" i="3"/>
  <c r="K19" i="9"/>
  <c r="K22" i="5"/>
  <c r="K22" i="58"/>
  <c r="K30" i="12"/>
  <c r="K15" i="47" l="1"/>
  <c r="G34" i="34"/>
  <c r="G30" i="34"/>
  <c r="G26" i="34"/>
  <c r="G22" i="34"/>
  <c r="G18" i="34"/>
  <c r="J12" i="47" l="1"/>
  <c r="F12" i="47"/>
  <c r="E12" i="47"/>
  <c r="D12" i="47"/>
  <c r="C12" i="47"/>
  <c r="G33" i="34"/>
  <c r="G32" i="34"/>
  <c r="G29" i="34"/>
  <c r="G28" i="34"/>
  <c r="G25" i="34"/>
  <c r="G24" i="34"/>
  <c r="G21" i="34"/>
  <c r="G20" i="34"/>
  <c r="G17" i="34"/>
  <c r="G16" i="34"/>
  <c r="G13" i="34"/>
  <c r="G12" i="34"/>
  <c r="G9" i="34"/>
  <c r="G8" i="34"/>
  <c r="G5" i="34"/>
  <c r="G4" i="34"/>
  <c r="G12" i="47" l="1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28" i="29"/>
  <c r="H27" i="29"/>
  <c r="H26" i="29"/>
  <c r="H25" i="29"/>
  <c r="H24" i="29"/>
  <c r="H23" i="29"/>
  <c r="H22" i="29"/>
  <c r="H21" i="29"/>
  <c r="H12" i="29"/>
  <c r="H11" i="29"/>
  <c r="H10" i="29"/>
  <c r="H9" i="29"/>
  <c r="H8" i="29"/>
  <c r="H7" i="29"/>
  <c r="H6" i="29"/>
  <c r="H5" i="29"/>
  <c r="H29" i="30"/>
  <c r="H28" i="30"/>
  <c r="H27" i="30"/>
  <c r="H26" i="30"/>
  <c r="H25" i="30"/>
  <c r="H24" i="30"/>
  <c r="H23" i="30"/>
  <c r="H22" i="30"/>
  <c r="H12" i="30"/>
  <c r="H11" i="30"/>
  <c r="H10" i="30"/>
  <c r="H9" i="30"/>
  <c r="H8" i="30"/>
  <c r="H7" i="30"/>
  <c r="H6" i="30"/>
  <c r="H5" i="30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H28" i="53"/>
  <c r="H27" i="53"/>
  <c r="H26" i="53"/>
  <c r="H25" i="53"/>
  <c r="H24" i="53"/>
  <c r="H23" i="53"/>
  <c r="H22" i="53"/>
  <c r="H21" i="53"/>
  <c r="H12" i="53"/>
  <c r="H11" i="53"/>
  <c r="H10" i="53"/>
  <c r="H9" i="53"/>
  <c r="H8" i="53"/>
  <c r="H7" i="53"/>
  <c r="H6" i="53"/>
  <c r="H5" i="53"/>
  <c r="H29" i="12"/>
  <c r="H28" i="12"/>
  <c r="H27" i="12"/>
  <c r="H26" i="12"/>
  <c r="H25" i="12"/>
  <c r="H24" i="12"/>
  <c r="H23" i="12"/>
  <c r="H22" i="12"/>
  <c r="H12" i="12"/>
  <c r="H11" i="12"/>
  <c r="H10" i="12"/>
  <c r="H9" i="12"/>
  <c r="H8" i="12"/>
  <c r="H7" i="12"/>
  <c r="H6" i="12"/>
  <c r="H5" i="12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C28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22" i="1" l="1"/>
  <c r="G28" i="58"/>
  <c r="C28" i="58" l="1"/>
  <c r="I28" i="58" l="1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G4" i="58"/>
  <c r="F30" i="58" l="1"/>
  <c r="M28" i="58"/>
  <c r="H30" i="58"/>
  <c r="I30" i="58"/>
  <c r="E30" i="58"/>
  <c r="D30" i="58"/>
  <c r="G30" i="58"/>
  <c r="C30" i="58"/>
  <c r="F21" i="58"/>
  <c r="F20" i="58"/>
  <c r="F19" i="58"/>
  <c r="F18" i="58"/>
  <c r="F17" i="58"/>
  <c r="F16" i="58"/>
  <c r="F15" i="58"/>
  <c r="F14" i="58"/>
  <c r="F12" i="58"/>
  <c r="F13" i="58"/>
  <c r="F11" i="58"/>
  <c r="F10" i="58"/>
  <c r="F9" i="58"/>
  <c r="F8" i="58"/>
  <c r="F7" i="58"/>
  <c r="F6" i="58"/>
  <c r="F5" i="58"/>
  <c r="F4" i="58"/>
  <c r="E22" i="58"/>
  <c r="D22" i="58"/>
  <c r="C21" i="58"/>
  <c r="N21" i="58" s="1"/>
  <c r="C20" i="58"/>
  <c r="N20" i="58" s="1"/>
  <c r="C19" i="58"/>
  <c r="N19" i="58" s="1"/>
  <c r="C18" i="58"/>
  <c r="C17" i="58"/>
  <c r="N17" i="58" s="1"/>
  <c r="C16" i="58"/>
  <c r="N16" i="58" s="1"/>
  <c r="C15" i="58"/>
  <c r="N15" i="58" s="1"/>
  <c r="C14" i="58"/>
  <c r="C13" i="58"/>
  <c r="C12" i="58"/>
  <c r="N12" i="58" s="1"/>
  <c r="C11" i="58"/>
  <c r="N11" i="58" s="1"/>
  <c r="C10" i="58"/>
  <c r="C9" i="58"/>
  <c r="N9" i="58" s="1"/>
  <c r="C8" i="58"/>
  <c r="N8" i="58" s="1"/>
  <c r="C7" i="58"/>
  <c r="N7" i="58" s="1"/>
  <c r="C6" i="58"/>
  <c r="C5" i="58"/>
  <c r="N5" i="58" s="1"/>
  <c r="C4" i="58"/>
  <c r="N4" i="58" s="1"/>
  <c r="J22" i="58"/>
  <c r="N13" i="58" l="1"/>
  <c r="N18" i="58"/>
  <c r="N6" i="58"/>
  <c r="N10" i="58"/>
  <c r="N14" i="58"/>
  <c r="I22" i="58"/>
  <c r="H22" i="58"/>
  <c r="L22" i="58"/>
  <c r="G22" i="58"/>
  <c r="F22" i="58"/>
  <c r="C22" i="58"/>
  <c r="N22" i="58" l="1"/>
  <c r="F11" i="47"/>
  <c r="E11" i="47"/>
  <c r="D11" i="47"/>
  <c r="C11" i="47"/>
  <c r="F34" i="34"/>
  <c r="F33" i="34"/>
  <c r="F32" i="34"/>
  <c r="F30" i="34"/>
  <c r="F29" i="34"/>
  <c r="F28" i="34"/>
  <c r="F26" i="34"/>
  <c r="F25" i="34"/>
  <c r="F24" i="34"/>
  <c r="F22" i="34"/>
  <c r="F21" i="34"/>
  <c r="F20" i="34"/>
  <c r="F18" i="34"/>
  <c r="F17" i="34"/>
  <c r="F16" i="34"/>
  <c r="F14" i="34"/>
  <c r="F13" i="34"/>
  <c r="F12" i="34"/>
  <c r="F10" i="34"/>
  <c r="F9" i="34"/>
  <c r="F8" i="34"/>
  <c r="F6" i="34"/>
  <c r="F5" i="34"/>
  <c r="F4" i="34"/>
  <c r="G7" i="17"/>
  <c r="G6" i="17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28" i="29"/>
  <c r="G27" i="29"/>
  <c r="G26" i="29"/>
  <c r="G25" i="29"/>
  <c r="G24" i="29"/>
  <c r="G23" i="29"/>
  <c r="G22" i="29"/>
  <c r="G21" i="29"/>
  <c r="G12" i="29"/>
  <c r="G11" i="29"/>
  <c r="G10" i="29"/>
  <c r="G9" i="29"/>
  <c r="G8" i="29"/>
  <c r="G7" i="29"/>
  <c r="G6" i="29"/>
  <c r="G5" i="29"/>
  <c r="G29" i="30"/>
  <c r="G28" i="30"/>
  <c r="G27" i="30"/>
  <c r="G26" i="30"/>
  <c r="G25" i="30"/>
  <c r="G24" i="30"/>
  <c r="G23" i="30"/>
  <c r="G22" i="30"/>
  <c r="G12" i="30"/>
  <c r="G11" i="30"/>
  <c r="G10" i="30"/>
  <c r="G9" i="30"/>
  <c r="G8" i="30"/>
  <c r="G7" i="30"/>
  <c r="G6" i="30"/>
  <c r="G5" i="30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28" i="53"/>
  <c r="G27" i="53"/>
  <c r="G26" i="53"/>
  <c r="G25" i="53"/>
  <c r="G24" i="53"/>
  <c r="G23" i="53"/>
  <c r="G22" i="53"/>
  <c r="G21" i="53"/>
  <c r="G12" i="53"/>
  <c r="G11" i="53"/>
  <c r="G10" i="53"/>
  <c r="G9" i="53"/>
  <c r="G8" i="53"/>
  <c r="G7" i="53"/>
  <c r="G6" i="53"/>
  <c r="G5" i="53"/>
  <c r="G29" i="12"/>
  <c r="G28" i="12"/>
  <c r="G27" i="12"/>
  <c r="G26" i="12"/>
  <c r="G25" i="12"/>
  <c r="G24" i="12"/>
  <c r="G23" i="12"/>
  <c r="G22" i="12"/>
  <c r="G12" i="12"/>
  <c r="G11" i="12"/>
  <c r="G10" i="12"/>
  <c r="G9" i="12"/>
  <c r="G8" i="12"/>
  <c r="G7" i="12"/>
  <c r="G6" i="12"/>
  <c r="G5" i="12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17" i="8"/>
  <c r="G16" i="8"/>
  <c r="G15" i="8"/>
  <c r="G14" i="8"/>
  <c r="G13" i="8"/>
  <c r="G12" i="8"/>
  <c r="G11" i="8"/>
  <c r="G10" i="8"/>
  <c r="G9" i="8"/>
  <c r="G8" i="8"/>
  <c r="G7" i="8"/>
  <c r="G6" i="8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6" i="1"/>
  <c r="G5" i="1"/>
  <c r="G22" i="1" l="1"/>
  <c r="J24" i="58"/>
  <c r="M24" i="58"/>
  <c r="I24" i="58"/>
  <c r="D24" i="58"/>
  <c r="C24" i="58"/>
  <c r="E24" i="58"/>
  <c r="G24" i="58"/>
  <c r="F24" i="58"/>
  <c r="H24" i="58"/>
  <c r="K24" i="58"/>
  <c r="L24" i="58"/>
  <c r="M27" i="58"/>
  <c r="M29" i="58" s="1"/>
  <c r="N29" i="58" s="1"/>
  <c r="G11" i="47"/>
  <c r="N24" i="58" l="1"/>
  <c r="N27" i="58"/>
  <c r="N28" i="58"/>
  <c r="E22" i="1" l="1"/>
  <c r="E22" i="5"/>
  <c r="I22" i="4" l="1"/>
  <c r="I22" i="6"/>
  <c r="I22" i="3"/>
  <c r="I22" i="5"/>
  <c r="H22" i="3" l="1"/>
  <c r="H30" i="12"/>
  <c r="K16" i="47" l="1"/>
  <c r="N4" i="1" l="1"/>
  <c r="J10" i="47"/>
  <c r="F10" i="47"/>
  <c r="E10" i="47"/>
  <c r="D10" i="47"/>
  <c r="C10" i="47"/>
  <c r="E34" i="34"/>
  <c r="E33" i="34"/>
  <c r="E32" i="34"/>
  <c r="E30" i="34"/>
  <c r="E29" i="34"/>
  <c r="E28" i="34"/>
  <c r="E26" i="34"/>
  <c r="E25" i="34"/>
  <c r="E24" i="34"/>
  <c r="E22" i="34"/>
  <c r="E21" i="34"/>
  <c r="E20" i="34"/>
  <c r="E18" i="34"/>
  <c r="E17" i="34"/>
  <c r="E16" i="34"/>
  <c r="E14" i="34"/>
  <c r="E13" i="34"/>
  <c r="E12" i="34"/>
  <c r="E10" i="34"/>
  <c r="E9" i="34"/>
  <c r="E8" i="34"/>
  <c r="E6" i="34"/>
  <c r="E5" i="34"/>
  <c r="E4" i="34"/>
  <c r="F7" i="17"/>
  <c r="F6" i="17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N7" i="10" s="1"/>
  <c r="F6" i="10"/>
  <c r="F5" i="10"/>
  <c r="F4" i="10"/>
  <c r="F28" i="29"/>
  <c r="F27" i="29"/>
  <c r="F26" i="29"/>
  <c r="F25" i="29"/>
  <c r="F24" i="29"/>
  <c r="F23" i="29"/>
  <c r="F22" i="29"/>
  <c r="F21" i="29"/>
  <c r="F12" i="29"/>
  <c r="F11" i="29"/>
  <c r="F10" i="29"/>
  <c r="F9" i="29"/>
  <c r="F8" i="29"/>
  <c r="F7" i="29"/>
  <c r="F6" i="29"/>
  <c r="F5" i="29"/>
  <c r="F29" i="30"/>
  <c r="F28" i="30"/>
  <c r="F27" i="30"/>
  <c r="F26" i="30"/>
  <c r="F25" i="30"/>
  <c r="F24" i="30"/>
  <c r="F23" i="30"/>
  <c r="F22" i="30"/>
  <c r="F12" i="30"/>
  <c r="F11" i="30"/>
  <c r="F10" i="30"/>
  <c r="F9" i="30"/>
  <c r="F8" i="30"/>
  <c r="F7" i="30"/>
  <c r="F6" i="30"/>
  <c r="F5" i="30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F28" i="53"/>
  <c r="F27" i="53"/>
  <c r="F26" i="53"/>
  <c r="F25" i="53"/>
  <c r="F24" i="53"/>
  <c r="F23" i="53"/>
  <c r="F22" i="53"/>
  <c r="F21" i="53"/>
  <c r="F12" i="53"/>
  <c r="F11" i="53"/>
  <c r="F10" i="53"/>
  <c r="F9" i="53"/>
  <c r="F8" i="53"/>
  <c r="F7" i="53"/>
  <c r="F6" i="53"/>
  <c r="F5" i="53"/>
  <c r="F29" i="12"/>
  <c r="F28" i="12"/>
  <c r="F27" i="12"/>
  <c r="F26" i="12"/>
  <c r="F25" i="12"/>
  <c r="F24" i="12"/>
  <c r="F23" i="12"/>
  <c r="F22" i="12"/>
  <c r="F12" i="12"/>
  <c r="F11" i="12"/>
  <c r="F10" i="12"/>
  <c r="F9" i="12"/>
  <c r="F8" i="12"/>
  <c r="F7" i="12"/>
  <c r="F6" i="12"/>
  <c r="F5" i="12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0" i="30" l="1"/>
  <c r="F22" i="1"/>
  <c r="F22" i="3"/>
  <c r="G10" i="47"/>
  <c r="K8" i="47" l="1"/>
  <c r="J7" i="47"/>
  <c r="J6" i="47" s="1"/>
  <c r="F7" i="47"/>
  <c r="F6" i="47" s="1"/>
  <c r="E7" i="47"/>
  <c r="E6" i="47" s="1"/>
  <c r="D7" i="47"/>
  <c r="D6" i="47" s="1"/>
  <c r="C7" i="47"/>
  <c r="C6" i="47" s="1"/>
  <c r="B34" i="34"/>
  <c r="M34" i="34" s="1"/>
  <c r="B33" i="34"/>
  <c r="M33" i="34" s="1"/>
  <c r="B32" i="34"/>
  <c r="M32" i="34" s="1"/>
  <c r="B30" i="34"/>
  <c r="M30" i="34" s="1"/>
  <c r="B29" i="34"/>
  <c r="M29" i="34" s="1"/>
  <c r="B28" i="34"/>
  <c r="M28" i="34" s="1"/>
  <c r="B26" i="34"/>
  <c r="M26" i="34" s="1"/>
  <c r="B25" i="34"/>
  <c r="M25" i="34" s="1"/>
  <c r="B24" i="34"/>
  <c r="M24" i="34" s="1"/>
  <c r="B22" i="34"/>
  <c r="M22" i="34" s="1"/>
  <c r="B21" i="34"/>
  <c r="M21" i="34" s="1"/>
  <c r="B20" i="34"/>
  <c r="M20" i="34" s="1"/>
  <c r="B18" i="34"/>
  <c r="M18" i="34" s="1"/>
  <c r="B17" i="34"/>
  <c r="M17" i="34" s="1"/>
  <c r="B16" i="34"/>
  <c r="M16" i="34" s="1"/>
  <c r="B14" i="34"/>
  <c r="M14" i="34" s="1"/>
  <c r="B13" i="34"/>
  <c r="M13" i="34" s="1"/>
  <c r="B12" i="34"/>
  <c r="M12" i="34" s="1"/>
  <c r="B10" i="34"/>
  <c r="M10" i="34" s="1"/>
  <c r="B9" i="34"/>
  <c r="M9" i="34" s="1"/>
  <c r="B8" i="34"/>
  <c r="M8" i="34" s="1"/>
  <c r="B6" i="34"/>
  <c r="M6" i="34" s="1"/>
  <c r="B5" i="34"/>
  <c r="M5" i="34" s="1"/>
  <c r="B4" i="34"/>
  <c r="M4" i="34" s="1"/>
  <c r="C7" i="17"/>
  <c r="N7" i="17" s="1"/>
  <c r="C6" i="17"/>
  <c r="N6" i="17" s="1"/>
  <c r="C21" i="10"/>
  <c r="N21" i="10" s="1"/>
  <c r="C20" i="10"/>
  <c r="N20" i="10" s="1"/>
  <c r="C19" i="10"/>
  <c r="N19" i="10" s="1"/>
  <c r="C18" i="10"/>
  <c r="N18" i="10" s="1"/>
  <c r="C17" i="10"/>
  <c r="N17" i="10" s="1"/>
  <c r="C16" i="10"/>
  <c r="N16" i="10" s="1"/>
  <c r="C15" i="10"/>
  <c r="N15" i="10" s="1"/>
  <c r="C14" i="10"/>
  <c r="N14" i="10" s="1"/>
  <c r="C13" i="10"/>
  <c r="N13" i="10" s="1"/>
  <c r="C12" i="10"/>
  <c r="N12" i="10" s="1"/>
  <c r="C11" i="10"/>
  <c r="N11" i="10" s="1"/>
  <c r="C10" i="10"/>
  <c r="N10" i="10" s="1"/>
  <c r="C9" i="10"/>
  <c r="N9" i="10" s="1"/>
  <c r="C8" i="10"/>
  <c r="N8" i="10" s="1"/>
  <c r="C6" i="10"/>
  <c r="N6" i="10" s="1"/>
  <c r="C5" i="10"/>
  <c r="N5" i="10" s="1"/>
  <c r="C4" i="10"/>
  <c r="N4" i="10" s="1"/>
  <c r="C28" i="29"/>
  <c r="N28" i="29" s="1"/>
  <c r="C27" i="29"/>
  <c r="N27" i="29" s="1"/>
  <c r="C26" i="29"/>
  <c r="N26" i="29" s="1"/>
  <c r="C25" i="29"/>
  <c r="N25" i="29" s="1"/>
  <c r="C24" i="29"/>
  <c r="N24" i="29" s="1"/>
  <c r="C23" i="29"/>
  <c r="N23" i="29" s="1"/>
  <c r="C22" i="29"/>
  <c r="N22" i="29" s="1"/>
  <c r="C21" i="29"/>
  <c r="N21" i="29" s="1"/>
  <c r="C12" i="29"/>
  <c r="N12" i="29" s="1"/>
  <c r="C11" i="29"/>
  <c r="N11" i="29" s="1"/>
  <c r="C10" i="29"/>
  <c r="N10" i="29" s="1"/>
  <c r="C9" i="29"/>
  <c r="N9" i="29" s="1"/>
  <c r="C8" i="29"/>
  <c r="N8" i="29" s="1"/>
  <c r="C7" i="29"/>
  <c r="N7" i="29" s="1"/>
  <c r="C6" i="29"/>
  <c r="N6" i="29" s="1"/>
  <c r="C5" i="29"/>
  <c r="N5" i="29" s="1"/>
  <c r="C29" i="30"/>
  <c r="N29" i="30" s="1"/>
  <c r="C28" i="30"/>
  <c r="N28" i="30" s="1"/>
  <c r="C27" i="30"/>
  <c r="N27" i="30" s="1"/>
  <c r="C26" i="30"/>
  <c r="N26" i="30" s="1"/>
  <c r="C25" i="30"/>
  <c r="N25" i="30" s="1"/>
  <c r="C24" i="30"/>
  <c r="N24" i="30" s="1"/>
  <c r="C23" i="30"/>
  <c r="N23" i="30" s="1"/>
  <c r="C22" i="30"/>
  <c r="N22" i="30" s="1"/>
  <c r="C12" i="30"/>
  <c r="N12" i="30" s="1"/>
  <c r="C11" i="30"/>
  <c r="N11" i="30" s="1"/>
  <c r="C10" i="30"/>
  <c r="N10" i="30" s="1"/>
  <c r="C9" i="30"/>
  <c r="N9" i="30" s="1"/>
  <c r="C8" i="30"/>
  <c r="N8" i="30" s="1"/>
  <c r="C7" i="30"/>
  <c r="N7" i="30" s="1"/>
  <c r="C6" i="30"/>
  <c r="N6" i="30" s="1"/>
  <c r="C5" i="30"/>
  <c r="N5" i="30" s="1"/>
  <c r="C17" i="31"/>
  <c r="N17" i="31" s="1"/>
  <c r="C16" i="31"/>
  <c r="N16" i="31" s="1"/>
  <c r="C15" i="31"/>
  <c r="N15" i="31" s="1"/>
  <c r="C14" i="31"/>
  <c r="N14" i="31" s="1"/>
  <c r="C13" i="31"/>
  <c r="N13" i="31" s="1"/>
  <c r="C12" i="31"/>
  <c r="N12" i="31" s="1"/>
  <c r="C11" i="31"/>
  <c r="N11" i="31" s="1"/>
  <c r="C10" i="31"/>
  <c r="N10" i="31" s="1"/>
  <c r="C9" i="31"/>
  <c r="N9" i="31" s="1"/>
  <c r="C8" i="31"/>
  <c r="N8" i="31" s="1"/>
  <c r="C7" i="31"/>
  <c r="N7" i="31" s="1"/>
  <c r="C6" i="31"/>
  <c r="N6" i="31" s="1"/>
  <c r="C5" i="31"/>
  <c r="N5" i="31" s="1"/>
  <c r="C17" i="32"/>
  <c r="N17" i="32" s="1"/>
  <c r="C16" i="32"/>
  <c r="N16" i="32" s="1"/>
  <c r="C15" i="32"/>
  <c r="N15" i="32" s="1"/>
  <c r="C14" i="32"/>
  <c r="N14" i="32" s="1"/>
  <c r="C13" i="32"/>
  <c r="N13" i="32" s="1"/>
  <c r="C12" i="32"/>
  <c r="N12" i="32" s="1"/>
  <c r="C11" i="32"/>
  <c r="N11" i="32" s="1"/>
  <c r="C10" i="32"/>
  <c r="N10" i="32" s="1"/>
  <c r="C9" i="32"/>
  <c r="N9" i="32" s="1"/>
  <c r="C8" i="32"/>
  <c r="N8" i="32" s="1"/>
  <c r="C7" i="32"/>
  <c r="N7" i="32" s="1"/>
  <c r="C6" i="32"/>
  <c r="N6" i="32" s="1"/>
  <c r="C5" i="32"/>
  <c r="N5" i="32" s="1"/>
  <c r="C28" i="53"/>
  <c r="N28" i="53" s="1"/>
  <c r="C27" i="53"/>
  <c r="N27" i="53" s="1"/>
  <c r="C26" i="53"/>
  <c r="N26" i="53" s="1"/>
  <c r="C25" i="53"/>
  <c r="N25" i="53" s="1"/>
  <c r="C24" i="53"/>
  <c r="N24" i="53" s="1"/>
  <c r="C23" i="53"/>
  <c r="N23" i="53" s="1"/>
  <c r="C22" i="53"/>
  <c r="N22" i="53" s="1"/>
  <c r="C21" i="53"/>
  <c r="N21" i="53" s="1"/>
  <c r="C12" i="53"/>
  <c r="N12" i="53" s="1"/>
  <c r="C11" i="53"/>
  <c r="N11" i="53" s="1"/>
  <c r="C10" i="53"/>
  <c r="N10" i="53" s="1"/>
  <c r="C9" i="53"/>
  <c r="N9" i="53" s="1"/>
  <c r="C8" i="53"/>
  <c r="N8" i="53" s="1"/>
  <c r="C7" i="53"/>
  <c r="N7" i="53" s="1"/>
  <c r="C6" i="53"/>
  <c r="N6" i="53" s="1"/>
  <c r="C5" i="53"/>
  <c r="N5" i="53" s="1"/>
  <c r="C29" i="12"/>
  <c r="N29" i="12" s="1"/>
  <c r="C28" i="12"/>
  <c r="N28" i="12" s="1"/>
  <c r="C27" i="12"/>
  <c r="N27" i="12" s="1"/>
  <c r="C26" i="12"/>
  <c r="N26" i="12" s="1"/>
  <c r="C25" i="12"/>
  <c r="N25" i="12" s="1"/>
  <c r="C24" i="12"/>
  <c r="N24" i="12" s="1"/>
  <c r="C23" i="12"/>
  <c r="N23" i="12" s="1"/>
  <c r="C22" i="12"/>
  <c r="N22" i="12" s="1"/>
  <c r="C12" i="12"/>
  <c r="N12" i="12" s="1"/>
  <c r="C11" i="12"/>
  <c r="N11" i="12" s="1"/>
  <c r="C10" i="12"/>
  <c r="N10" i="12" s="1"/>
  <c r="C9" i="12"/>
  <c r="N9" i="12" s="1"/>
  <c r="C8" i="12"/>
  <c r="N8" i="12" s="1"/>
  <c r="C7" i="12"/>
  <c r="N7" i="12" s="1"/>
  <c r="C6" i="12"/>
  <c r="N6" i="12" s="1"/>
  <c r="C5" i="12"/>
  <c r="N5" i="12" s="1"/>
  <c r="C18" i="9"/>
  <c r="N18" i="9" s="1"/>
  <c r="C17" i="9"/>
  <c r="N17" i="9" s="1"/>
  <c r="C16" i="9"/>
  <c r="N16" i="9" s="1"/>
  <c r="C15" i="9"/>
  <c r="N15" i="9" s="1"/>
  <c r="C14" i="9"/>
  <c r="N14" i="9" s="1"/>
  <c r="C13" i="9"/>
  <c r="N13" i="9" s="1"/>
  <c r="C12" i="9"/>
  <c r="N12" i="9" s="1"/>
  <c r="C11" i="9"/>
  <c r="N11" i="9" s="1"/>
  <c r="C10" i="9"/>
  <c r="N10" i="9" s="1"/>
  <c r="C9" i="9"/>
  <c r="N9" i="9" s="1"/>
  <c r="C8" i="9"/>
  <c r="N8" i="9" s="1"/>
  <c r="C7" i="9"/>
  <c r="N7" i="9" s="1"/>
  <c r="C6" i="9"/>
  <c r="N6" i="9" s="1"/>
  <c r="C17" i="8"/>
  <c r="N17" i="8" s="1"/>
  <c r="C16" i="8"/>
  <c r="N16" i="8" s="1"/>
  <c r="C15" i="8"/>
  <c r="N15" i="8" s="1"/>
  <c r="C14" i="8"/>
  <c r="N14" i="8" s="1"/>
  <c r="C13" i="8"/>
  <c r="N13" i="8" s="1"/>
  <c r="C12" i="8"/>
  <c r="N12" i="8" s="1"/>
  <c r="C11" i="8"/>
  <c r="N11" i="8" s="1"/>
  <c r="C10" i="8"/>
  <c r="N10" i="8" s="1"/>
  <c r="C9" i="8"/>
  <c r="N9" i="8" s="1"/>
  <c r="C8" i="8"/>
  <c r="N8" i="8" s="1"/>
  <c r="C7" i="8"/>
  <c r="N7" i="8" s="1"/>
  <c r="C6" i="8"/>
  <c r="N6" i="8" s="1"/>
  <c r="C5" i="8"/>
  <c r="N5" i="8" s="1"/>
  <c r="C21" i="6"/>
  <c r="N21" i="6" s="1"/>
  <c r="C20" i="6"/>
  <c r="N20" i="6" s="1"/>
  <c r="C19" i="6"/>
  <c r="N19" i="6" s="1"/>
  <c r="C18" i="6"/>
  <c r="N18" i="6" s="1"/>
  <c r="C17" i="6"/>
  <c r="N17" i="6" s="1"/>
  <c r="C16" i="6"/>
  <c r="N16" i="6" s="1"/>
  <c r="C15" i="6"/>
  <c r="N15" i="6" s="1"/>
  <c r="C14" i="6"/>
  <c r="N14" i="6" s="1"/>
  <c r="C13" i="6"/>
  <c r="N13" i="6" s="1"/>
  <c r="C12" i="6"/>
  <c r="N12" i="6" s="1"/>
  <c r="C11" i="6"/>
  <c r="N11" i="6" s="1"/>
  <c r="C10" i="6"/>
  <c r="N10" i="6" s="1"/>
  <c r="C9" i="6"/>
  <c r="N9" i="6" s="1"/>
  <c r="C8" i="6"/>
  <c r="N8" i="6" s="1"/>
  <c r="C7" i="6"/>
  <c r="N7" i="6" s="1"/>
  <c r="C6" i="6"/>
  <c r="N6" i="6" s="1"/>
  <c r="C5" i="6"/>
  <c r="N5" i="6" s="1"/>
  <c r="C4" i="6"/>
  <c r="N4" i="6" s="1"/>
  <c r="C21" i="5"/>
  <c r="N21" i="5" s="1"/>
  <c r="C20" i="5"/>
  <c r="N20" i="5" s="1"/>
  <c r="C19" i="5"/>
  <c r="N19" i="5" s="1"/>
  <c r="C18" i="5"/>
  <c r="N18" i="5" s="1"/>
  <c r="C17" i="5"/>
  <c r="N17" i="5" s="1"/>
  <c r="C16" i="5"/>
  <c r="N16" i="5" s="1"/>
  <c r="C15" i="5"/>
  <c r="N15" i="5" s="1"/>
  <c r="C14" i="5"/>
  <c r="N14" i="5" s="1"/>
  <c r="C13" i="5"/>
  <c r="N13" i="5" s="1"/>
  <c r="C12" i="5"/>
  <c r="N12" i="5" s="1"/>
  <c r="C11" i="5"/>
  <c r="N11" i="5" s="1"/>
  <c r="C10" i="5"/>
  <c r="N10" i="5" s="1"/>
  <c r="C9" i="5"/>
  <c r="N9" i="5" s="1"/>
  <c r="C8" i="5"/>
  <c r="N8" i="5" s="1"/>
  <c r="C7" i="5"/>
  <c r="N7" i="5" s="1"/>
  <c r="C6" i="5"/>
  <c r="N6" i="5" s="1"/>
  <c r="C5" i="5"/>
  <c r="N5" i="5" s="1"/>
  <c r="C4" i="5"/>
  <c r="N4" i="5" s="1"/>
  <c r="C21" i="4"/>
  <c r="N21" i="4" s="1"/>
  <c r="C20" i="4"/>
  <c r="N20" i="4" s="1"/>
  <c r="C19" i="4"/>
  <c r="N19" i="4" s="1"/>
  <c r="C18" i="4"/>
  <c r="N18" i="4" s="1"/>
  <c r="C17" i="4"/>
  <c r="N17" i="4" s="1"/>
  <c r="C16" i="4"/>
  <c r="N16" i="4" s="1"/>
  <c r="C15" i="4"/>
  <c r="N15" i="4" s="1"/>
  <c r="C14" i="4"/>
  <c r="N14" i="4" s="1"/>
  <c r="C13" i="4"/>
  <c r="N13" i="4" s="1"/>
  <c r="C12" i="4"/>
  <c r="N12" i="4" s="1"/>
  <c r="C11" i="4"/>
  <c r="N11" i="4" s="1"/>
  <c r="C10" i="4"/>
  <c r="N10" i="4" s="1"/>
  <c r="C9" i="4"/>
  <c r="N9" i="4" s="1"/>
  <c r="C8" i="4"/>
  <c r="N8" i="4" s="1"/>
  <c r="C7" i="4"/>
  <c r="N7" i="4" s="1"/>
  <c r="C6" i="4"/>
  <c r="N6" i="4" s="1"/>
  <c r="C5" i="4"/>
  <c r="N5" i="4" s="1"/>
  <c r="C4" i="4"/>
  <c r="N4" i="4" s="1"/>
  <c r="C21" i="3"/>
  <c r="N21" i="3" s="1"/>
  <c r="C20" i="3"/>
  <c r="N20" i="3" s="1"/>
  <c r="C19" i="3"/>
  <c r="N19" i="3" s="1"/>
  <c r="C18" i="3"/>
  <c r="N18" i="3" s="1"/>
  <c r="C17" i="3"/>
  <c r="N17" i="3" s="1"/>
  <c r="C16" i="3"/>
  <c r="N16" i="3" s="1"/>
  <c r="C15" i="3"/>
  <c r="N15" i="3" s="1"/>
  <c r="C14" i="3"/>
  <c r="N14" i="3" s="1"/>
  <c r="C13" i="3"/>
  <c r="N13" i="3" s="1"/>
  <c r="C12" i="3"/>
  <c r="N12" i="3" s="1"/>
  <c r="C11" i="3"/>
  <c r="N11" i="3" s="1"/>
  <c r="C10" i="3"/>
  <c r="N10" i="3" s="1"/>
  <c r="C9" i="3"/>
  <c r="N9" i="3" s="1"/>
  <c r="C8" i="3"/>
  <c r="N8" i="3" s="1"/>
  <c r="C7" i="3"/>
  <c r="N7" i="3" s="1"/>
  <c r="C6" i="3"/>
  <c r="N6" i="3" s="1"/>
  <c r="C5" i="3"/>
  <c r="N5" i="3" s="1"/>
  <c r="C4" i="3"/>
  <c r="N4" i="3" s="1"/>
  <c r="C22" i="2"/>
  <c r="N22" i="2" s="1"/>
  <c r="M24" i="2" s="1"/>
  <c r="C21" i="2"/>
  <c r="N21" i="2" s="1"/>
  <c r="C20" i="2"/>
  <c r="N20" i="2" s="1"/>
  <c r="C19" i="2"/>
  <c r="N19" i="2" s="1"/>
  <c r="C18" i="2"/>
  <c r="N18" i="2" s="1"/>
  <c r="C17" i="2"/>
  <c r="N17" i="2" s="1"/>
  <c r="C16" i="2"/>
  <c r="N16" i="2" s="1"/>
  <c r="C15" i="2"/>
  <c r="N15" i="2" s="1"/>
  <c r="C14" i="2"/>
  <c r="N14" i="2" s="1"/>
  <c r="C13" i="2"/>
  <c r="N13" i="2" s="1"/>
  <c r="C12" i="2"/>
  <c r="N12" i="2" s="1"/>
  <c r="C11" i="2"/>
  <c r="N11" i="2" s="1"/>
  <c r="C10" i="2"/>
  <c r="N10" i="2" s="1"/>
  <c r="C9" i="2"/>
  <c r="N9" i="2" s="1"/>
  <c r="C8" i="2"/>
  <c r="N8" i="2" s="1"/>
  <c r="C7" i="2"/>
  <c r="N7" i="2" s="1"/>
  <c r="C6" i="2"/>
  <c r="N6" i="2" s="1"/>
  <c r="C5" i="2"/>
  <c r="N5" i="2" s="1"/>
  <c r="C4" i="2"/>
  <c r="N4" i="2" s="1"/>
  <c r="C21" i="1"/>
  <c r="N21" i="1" s="1"/>
  <c r="C20" i="1"/>
  <c r="N20" i="1" s="1"/>
  <c r="C19" i="1"/>
  <c r="N19" i="1" s="1"/>
  <c r="C18" i="1"/>
  <c r="N18" i="1" s="1"/>
  <c r="C17" i="1"/>
  <c r="N17" i="1" s="1"/>
  <c r="C16" i="1"/>
  <c r="N16" i="1" s="1"/>
  <c r="C15" i="1"/>
  <c r="N15" i="1" s="1"/>
  <c r="C14" i="1"/>
  <c r="N14" i="1" s="1"/>
  <c r="C13" i="1"/>
  <c r="N13" i="1" s="1"/>
  <c r="C12" i="1"/>
  <c r="N12" i="1" s="1"/>
  <c r="C11" i="1"/>
  <c r="N11" i="1" s="1"/>
  <c r="C10" i="1"/>
  <c r="N10" i="1" s="1"/>
  <c r="C9" i="1"/>
  <c r="N9" i="1" s="1"/>
  <c r="C8" i="1"/>
  <c r="N8" i="1" s="1"/>
  <c r="C7" i="1"/>
  <c r="N7" i="1" s="1"/>
  <c r="C6" i="1"/>
  <c r="N6" i="1" s="1"/>
  <c r="C5" i="1"/>
  <c r="N5" i="1" s="1"/>
  <c r="C22" i="6" l="1"/>
  <c r="D18" i="8"/>
  <c r="G7" i="47"/>
  <c r="I19" i="47"/>
  <c r="F19" i="47"/>
  <c r="E19" i="47"/>
  <c r="D19" i="47"/>
  <c r="C19" i="47"/>
  <c r="C18" i="47" s="1"/>
  <c r="C13" i="17"/>
  <c r="C12" i="17"/>
  <c r="C28" i="10"/>
  <c r="C28" i="5"/>
  <c r="C28" i="4"/>
  <c r="C28" i="3"/>
  <c r="C28" i="2"/>
  <c r="C28" i="1"/>
  <c r="I28" i="1" s="1"/>
  <c r="K7" i="47" l="1"/>
  <c r="G6" i="47"/>
  <c r="C30" i="1"/>
  <c r="M28" i="1"/>
  <c r="H30" i="1"/>
  <c r="I30" i="1"/>
  <c r="E30" i="1"/>
  <c r="G30" i="1"/>
  <c r="F30" i="1"/>
  <c r="D30" i="1"/>
  <c r="G19" i="47"/>
  <c r="I23" i="47"/>
  <c r="I18" i="47" s="1"/>
  <c r="E23" i="47"/>
  <c r="E18" i="47" s="1"/>
  <c r="F23" i="47"/>
  <c r="F18" i="47" s="1"/>
  <c r="D23" i="47"/>
  <c r="D18" i="47" s="1"/>
  <c r="G13" i="17"/>
  <c r="I13" i="17" s="1"/>
  <c r="N13" i="17" s="1"/>
  <c r="G12" i="17"/>
  <c r="I12" i="17" s="1"/>
  <c r="N12" i="17" s="1"/>
  <c r="G28" i="10"/>
  <c r="G28" i="6"/>
  <c r="G28" i="5"/>
  <c r="G28" i="4"/>
  <c r="G28" i="3"/>
  <c r="I28" i="3" s="1"/>
  <c r="G28" i="2"/>
  <c r="I28" i="2" s="1"/>
  <c r="I30" i="3" l="1"/>
  <c r="M28" i="3"/>
  <c r="H30" i="3"/>
  <c r="E30" i="3"/>
  <c r="F30" i="3"/>
  <c r="D30" i="3"/>
  <c r="C30" i="3"/>
  <c r="I30" i="2"/>
  <c r="M28" i="2"/>
  <c r="H30" i="2"/>
  <c r="F30" i="2"/>
  <c r="E30" i="2"/>
  <c r="D30" i="2"/>
  <c r="I28" i="4"/>
  <c r="I28" i="10"/>
  <c r="I28" i="5"/>
  <c r="G30" i="3"/>
  <c r="G30" i="2"/>
  <c r="I28" i="6"/>
  <c r="K19" i="47"/>
  <c r="C30" i="2"/>
  <c r="G23" i="47"/>
  <c r="K23" i="47" s="1"/>
  <c r="M13" i="17"/>
  <c r="I30" i="4" l="1"/>
  <c r="M28" i="4"/>
  <c r="H30" i="4"/>
  <c r="F30" i="4"/>
  <c r="E30" i="4"/>
  <c r="D30" i="4"/>
  <c r="C30" i="4"/>
  <c r="I30" i="6"/>
  <c r="H30" i="6"/>
  <c r="M28" i="6"/>
  <c r="E30" i="6"/>
  <c r="F30" i="6"/>
  <c r="D30" i="6"/>
  <c r="C30" i="6"/>
  <c r="I30" i="5"/>
  <c r="M28" i="5"/>
  <c r="H30" i="5"/>
  <c r="E30" i="5"/>
  <c r="F30" i="5"/>
  <c r="D30" i="5"/>
  <c r="C30" i="5"/>
  <c r="G30" i="4"/>
  <c r="G30" i="6"/>
  <c r="I30" i="10"/>
  <c r="H30" i="10"/>
  <c r="M28" i="10"/>
  <c r="E30" i="10"/>
  <c r="F30" i="10"/>
  <c r="D30" i="10"/>
  <c r="C30" i="10"/>
  <c r="G30" i="10"/>
  <c r="G18" i="47"/>
  <c r="G30" i="5"/>
  <c r="O13" i="17"/>
  <c r="K21" i="47"/>
  <c r="N22" i="6" l="1"/>
  <c r="M24" i="6" s="1"/>
  <c r="E24" i="2"/>
  <c r="H24" i="2"/>
  <c r="L24" i="2"/>
  <c r="I24" i="2"/>
  <c r="J24" i="2"/>
  <c r="N19" i="9"/>
  <c r="M21" i="9" s="1"/>
  <c r="E22" i="10"/>
  <c r="N22" i="3" l="1"/>
  <c r="N22" i="4"/>
  <c r="M12" i="17"/>
  <c r="N18" i="8"/>
  <c r="D20" i="8" l="1"/>
  <c r="M20" i="8"/>
  <c r="K24" i="3"/>
  <c r="M24" i="3"/>
  <c r="K24" i="4"/>
  <c r="M24" i="4"/>
  <c r="O12" i="17"/>
  <c r="G25" i="47"/>
  <c r="K9" i="47" l="1"/>
  <c r="C30" i="30"/>
  <c r="L30" i="30" l="1"/>
  <c r="K22" i="47" l="1"/>
  <c r="K18" i="47" s="1"/>
  <c r="L22" i="10" l="1"/>
  <c r="K14" i="47" l="1"/>
  <c r="K12" i="47"/>
  <c r="K11" i="47"/>
  <c r="K10" i="47"/>
  <c r="J25" i="47"/>
  <c r="I25" i="47"/>
  <c r="H25" i="47"/>
  <c r="F25" i="47"/>
  <c r="E25" i="47"/>
  <c r="D25" i="47"/>
  <c r="C25" i="47"/>
  <c r="J22" i="10"/>
  <c r="I22" i="10"/>
  <c r="H22" i="10"/>
  <c r="G22" i="10"/>
  <c r="F22" i="10"/>
  <c r="D22" i="10"/>
  <c r="C22" i="10"/>
  <c r="L29" i="29"/>
  <c r="J29" i="29"/>
  <c r="I29" i="29"/>
  <c r="H29" i="29"/>
  <c r="G29" i="29"/>
  <c r="F29" i="29"/>
  <c r="E29" i="29"/>
  <c r="D29" i="29"/>
  <c r="C29" i="29"/>
  <c r="L13" i="29"/>
  <c r="J13" i="29"/>
  <c r="I13" i="29"/>
  <c r="H13" i="29"/>
  <c r="G13" i="29"/>
  <c r="F13" i="29"/>
  <c r="E13" i="29"/>
  <c r="D13" i="29"/>
  <c r="C13" i="29"/>
  <c r="J30" i="30"/>
  <c r="I30" i="30"/>
  <c r="H30" i="30"/>
  <c r="G30" i="30"/>
  <c r="E30" i="30"/>
  <c r="D30" i="30"/>
  <c r="L13" i="30"/>
  <c r="J13" i="30"/>
  <c r="I13" i="30"/>
  <c r="H13" i="30"/>
  <c r="G13" i="30"/>
  <c r="F13" i="30"/>
  <c r="E13" i="30"/>
  <c r="D13" i="30"/>
  <c r="C13" i="30"/>
  <c r="F18" i="31"/>
  <c r="E18" i="31"/>
  <c r="D18" i="31"/>
  <c r="C18" i="31"/>
  <c r="L18" i="32"/>
  <c r="J18" i="32"/>
  <c r="I18" i="32"/>
  <c r="H18" i="32"/>
  <c r="G18" i="32"/>
  <c r="F18" i="32"/>
  <c r="E18" i="32"/>
  <c r="D18" i="32"/>
  <c r="C18" i="32"/>
  <c r="L29" i="53"/>
  <c r="J29" i="53"/>
  <c r="I29" i="53"/>
  <c r="H29" i="53"/>
  <c r="G29" i="53"/>
  <c r="F29" i="53"/>
  <c r="E29" i="53"/>
  <c r="D29" i="53"/>
  <c r="C29" i="53"/>
  <c r="L13" i="53"/>
  <c r="J13" i="53"/>
  <c r="I13" i="53"/>
  <c r="H13" i="53"/>
  <c r="G13" i="53"/>
  <c r="F13" i="53"/>
  <c r="E13" i="53"/>
  <c r="D13" i="53"/>
  <c r="C13" i="53"/>
  <c r="L30" i="12"/>
  <c r="I30" i="12"/>
  <c r="G30" i="12"/>
  <c r="F30" i="12"/>
  <c r="E30" i="12"/>
  <c r="D30" i="12"/>
  <c r="C30" i="12"/>
  <c r="L13" i="12"/>
  <c r="J13" i="12"/>
  <c r="I13" i="12"/>
  <c r="H13" i="12"/>
  <c r="G13" i="12"/>
  <c r="F13" i="12"/>
  <c r="E13" i="12"/>
  <c r="D13" i="12"/>
  <c r="C13" i="12"/>
  <c r="L19" i="9"/>
  <c r="J19" i="9"/>
  <c r="I19" i="9"/>
  <c r="H19" i="9"/>
  <c r="G19" i="9"/>
  <c r="F19" i="9"/>
  <c r="E19" i="9"/>
  <c r="E21" i="9" s="1"/>
  <c r="D19" i="9"/>
  <c r="C19" i="9"/>
  <c r="L18" i="8"/>
  <c r="J18" i="8"/>
  <c r="J20" i="8" s="1"/>
  <c r="I18" i="8"/>
  <c r="H18" i="8"/>
  <c r="H20" i="8" s="1"/>
  <c r="G18" i="8"/>
  <c r="F18" i="8"/>
  <c r="E18" i="8"/>
  <c r="C18" i="8"/>
  <c r="L22" i="6"/>
  <c r="J22" i="6"/>
  <c r="J24" i="6" s="1"/>
  <c r="H22" i="6"/>
  <c r="H24" i="6" s="1"/>
  <c r="G22" i="6"/>
  <c r="F22" i="6"/>
  <c r="F24" i="6" s="1"/>
  <c r="E22" i="6"/>
  <c r="E24" i="6" s="1"/>
  <c r="D22" i="6"/>
  <c r="L22" i="5"/>
  <c r="J22" i="5"/>
  <c r="H22" i="5"/>
  <c r="G22" i="5"/>
  <c r="F22" i="5"/>
  <c r="D22" i="5"/>
  <c r="C22" i="5"/>
  <c r="L22" i="4"/>
  <c r="J22" i="4"/>
  <c r="H22" i="4"/>
  <c r="G22" i="4"/>
  <c r="F22" i="4"/>
  <c r="E22" i="4"/>
  <c r="E24" i="4" s="1"/>
  <c r="D22" i="4"/>
  <c r="C22" i="4"/>
  <c r="L22" i="3"/>
  <c r="J22" i="3"/>
  <c r="G22" i="3"/>
  <c r="E22" i="3"/>
  <c r="D22" i="3"/>
  <c r="C22" i="3"/>
  <c r="D22" i="1"/>
  <c r="C22" i="1"/>
  <c r="N30" i="30" l="1"/>
  <c r="N22" i="1"/>
  <c r="K6" i="47"/>
  <c r="K25" i="47" s="1"/>
  <c r="N22" i="10"/>
  <c r="M24" i="10" s="1"/>
  <c r="N29" i="53"/>
  <c r="M31" i="53" s="1"/>
  <c r="N22" i="5"/>
  <c r="L24" i="5" s="1"/>
  <c r="N13" i="53"/>
  <c r="M15" i="53" s="1"/>
  <c r="N18" i="32"/>
  <c r="M20" i="32" s="1"/>
  <c r="N13" i="29"/>
  <c r="M15" i="29" s="1"/>
  <c r="N29" i="29"/>
  <c r="M31" i="29" s="1"/>
  <c r="N13" i="30"/>
  <c r="M16" i="30" s="1"/>
  <c r="N18" i="31"/>
  <c r="N30" i="12"/>
  <c r="M32" i="12" s="1"/>
  <c r="N13" i="12"/>
  <c r="M15" i="12" s="1"/>
  <c r="D24" i="4"/>
  <c r="D24" i="3"/>
  <c r="C24" i="2"/>
  <c r="M27" i="2"/>
  <c r="M29" i="2" s="1"/>
  <c r="D24" i="2"/>
  <c r="F24" i="2"/>
  <c r="G24" i="2"/>
  <c r="K24" i="2"/>
  <c r="M20" i="31" l="1"/>
  <c r="H20" i="31"/>
  <c r="L20" i="31"/>
  <c r="I20" i="31"/>
  <c r="J20" i="31"/>
  <c r="G20" i="31"/>
  <c r="K20" i="31"/>
  <c r="M27" i="1"/>
  <c r="N24" i="1"/>
  <c r="M24" i="1"/>
  <c r="L24" i="1"/>
  <c r="J24" i="1"/>
  <c r="I24" i="1"/>
  <c r="K24" i="1"/>
  <c r="H24" i="1"/>
  <c r="G24" i="1"/>
  <c r="E24" i="1"/>
  <c r="F24" i="1"/>
  <c r="C24" i="1"/>
  <c r="D24" i="1"/>
  <c r="M27" i="5"/>
  <c r="C24" i="5"/>
  <c r="G32" i="30"/>
  <c r="M32" i="30"/>
  <c r="M24" i="5"/>
  <c r="K24" i="5"/>
  <c r="E24" i="5"/>
  <c r="I24" i="5"/>
  <c r="F24" i="5"/>
  <c r="N24" i="2"/>
  <c r="G24" i="5"/>
  <c r="J24" i="5"/>
  <c r="H24" i="5"/>
  <c r="D24" i="5"/>
  <c r="E24" i="10"/>
  <c r="K24" i="10"/>
  <c r="K31" i="29"/>
  <c r="E15" i="29"/>
  <c r="C15" i="29"/>
  <c r="K15" i="29"/>
  <c r="D24" i="10"/>
  <c r="E32" i="12"/>
  <c r="N27" i="2"/>
  <c r="M27" i="6"/>
  <c r="I24" i="6"/>
  <c r="F15" i="29"/>
  <c r="H15" i="29"/>
  <c r="D15" i="29"/>
  <c r="I15" i="29"/>
  <c r="L15" i="29"/>
  <c r="G15" i="29"/>
  <c r="J15" i="29"/>
  <c r="H31" i="29"/>
  <c r="D31" i="29"/>
  <c r="L31" i="29"/>
  <c r="J31" i="29"/>
  <c r="E31" i="29"/>
  <c r="I31" i="29"/>
  <c r="C31" i="29"/>
  <c r="G31" i="29"/>
  <c r="F31" i="29"/>
  <c r="G24" i="6"/>
  <c r="K24" i="6"/>
  <c r="D24" i="6"/>
  <c r="C15" i="12"/>
  <c r="J24" i="10"/>
  <c r="C24" i="10"/>
  <c r="D20" i="32"/>
  <c r="L20" i="8"/>
  <c r="K20" i="8"/>
  <c r="E20" i="8"/>
  <c r="G20" i="8"/>
  <c r="C24" i="6"/>
  <c r="L24" i="6"/>
  <c r="C16" i="30"/>
  <c r="C20" i="8"/>
  <c r="I20" i="8"/>
  <c r="H24" i="10"/>
  <c r="M27" i="10"/>
  <c r="L24" i="3"/>
  <c r="H24" i="3"/>
  <c r="D31" i="53"/>
  <c r="C15" i="53"/>
  <c r="J24" i="3"/>
  <c r="E24" i="3"/>
  <c r="C24" i="3"/>
  <c r="M27" i="3"/>
  <c r="M29" i="3" s="1"/>
  <c r="N29" i="3" s="1"/>
  <c r="G16" i="30"/>
  <c r="J31" i="53"/>
  <c r="E31" i="53"/>
  <c r="C31" i="53"/>
  <c r="L31" i="53"/>
  <c r="H31" i="53"/>
  <c r="I31" i="53"/>
  <c r="L32" i="12"/>
  <c r="H32" i="12"/>
  <c r="J32" i="12"/>
  <c r="D32" i="12"/>
  <c r="L21" i="9"/>
  <c r="F20" i="8"/>
  <c r="L24" i="4"/>
  <c r="J24" i="4"/>
  <c r="H24" i="4"/>
  <c r="I24" i="3"/>
  <c r="G24" i="3"/>
  <c r="F24" i="3"/>
  <c r="J32" i="30"/>
  <c r="K16" i="30"/>
  <c r="L16" i="30"/>
  <c r="L20" i="32"/>
  <c r="E20" i="32"/>
  <c r="H20" i="32"/>
  <c r="K20" i="32"/>
  <c r="G20" i="32"/>
  <c r="K15" i="53"/>
  <c r="J15" i="53"/>
  <c r="G15" i="53"/>
  <c r="L15" i="12"/>
  <c r="J15" i="12"/>
  <c r="H15" i="12"/>
  <c r="E15" i="12"/>
  <c r="K15" i="12"/>
  <c r="J21" i="9"/>
  <c r="H21" i="9"/>
  <c r="C21" i="9"/>
  <c r="K21" i="9"/>
  <c r="I21" i="9"/>
  <c r="D21" i="9"/>
  <c r="C24" i="4"/>
  <c r="N24" i="4"/>
  <c r="M27" i="4"/>
  <c r="L24" i="10"/>
  <c r="L32" i="30"/>
  <c r="H32" i="30"/>
  <c r="C32" i="30"/>
  <c r="D32" i="30"/>
  <c r="E32" i="30"/>
  <c r="F32" i="30"/>
  <c r="I32" i="30"/>
  <c r="I16" i="30"/>
  <c r="F16" i="30"/>
  <c r="H16" i="30"/>
  <c r="D16" i="30"/>
  <c r="J16" i="30"/>
  <c r="E16" i="30"/>
  <c r="K31" i="53"/>
  <c r="G31" i="53"/>
  <c r="F31" i="53"/>
  <c r="C32" i="12"/>
  <c r="K32" i="12"/>
  <c r="I32" i="12"/>
  <c r="G32" i="12"/>
  <c r="F32" i="12"/>
  <c r="I15" i="12"/>
  <c r="G21" i="9"/>
  <c r="I24" i="4"/>
  <c r="I24" i="10"/>
  <c r="G24" i="10"/>
  <c r="F24" i="10"/>
  <c r="K32" i="30"/>
  <c r="D20" i="31"/>
  <c r="F20" i="31"/>
  <c r="E20" i="31"/>
  <c r="C20" i="31"/>
  <c r="J20" i="32"/>
  <c r="C20" i="32"/>
  <c r="I20" i="32"/>
  <c r="F20" i="32"/>
  <c r="L15" i="53"/>
  <c r="H15" i="53"/>
  <c r="E15" i="53"/>
  <c r="I15" i="53"/>
  <c r="F15" i="53"/>
  <c r="D15" i="53"/>
  <c r="F15" i="12"/>
  <c r="G15" i="12"/>
  <c r="D15" i="12"/>
  <c r="F21" i="9"/>
  <c r="G24" i="4"/>
  <c r="F24" i="4"/>
  <c r="M29" i="5"/>
  <c r="N29" i="5" s="1"/>
  <c r="N16" i="30" l="1"/>
  <c r="N24" i="10"/>
  <c r="N15" i="29"/>
  <c r="N31" i="29"/>
  <c r="N32" i="30"/>
  <c r="N24" i="5"/>
  <c r="N20" i="32"/>
  <c r="N20" i="31"/>
  <c r="N21" i="9"/>
  <c r="N31" i="53"/>
  <c r="N20" i="8"/>
  <c r="N32" i="12"/>
  <c r="N24" i="3"/>
  <c r="N15" i="53"/>
  <c r="N15" i="12"/>
  <c r="N24" i="6"/>
  <c r="M29" i="4"/>
  <c r="N27" i="4" s="1"/>
  <c r="M29" i="10"/>
  <c r="N27" i="10" s="1"/>
  <c r="M29" i="6"/>
  <c r="N27" i="6" s="1"/>
  <c r="M29" i="1"/>
  <c r="N29" i="2"/>
  <c r="N28" i="2"/>
  <c r="N27" i="3"/>
  <c r="N28" i="3"/>
  <c r="N27" i="5"/>
  <c r="N28" i="5"/>
  <c r="N29" i="10" l="1"/>
  <c r="N28" i="10"/>
  <c r="N29" i="1"/>
  <c r="N28" i="1"/>
  <c r="N27" i="1"/>
  <c r="N29" i="6"/>
  <c r="N28" i="6"/>
  <c r="N29" i="4"/>
  <c r="N28" i="4"/>
</calcChain>
</file>

<file path=xl/sharedStrings.xml><?xml version="1.0" encoding="utf-8"?>
<sst xmlns="http://schemas.openxmlformats.org/spreadsheetml/2006/main" count="915" uniqueCount="122">
  <si>
    <t>Ред.   бр.</t>
  </si>
  <si>
    <t>Класа на осигурување</t>
  </si>
  <si>
    <t>неживот</t>
  </si>
  <si>
    <t>Вкупно</t>
  </si>
  <si>
    <t>Триглав</t>
  </si>
  <si>
    <t>Евроинс</t>
  </si>
  <si>
    <t>Сава</t>
  </si>
  <si>
    <t>Винер</t>
  </si>
  <si>
    <t>Еуролинк</t>
  </si>
  <si>
    <t>Уника</t>
  </si>
  <si>
    <t>Ос.Полиса</t>
  </si>
  <si>
    <t>Кроација</t>
  </si>
  <si>
    <t>Незгода</t>
  </si>
  <si>
    <t>Здравствено осигурување</t>
  </si>
  <si>
    <t>Моторни возила - каско</t>
  </si>
  <si>
    <t>Шински возила - каско</t>
  </si>
  <si>
    <t>Воздухоплови - каско</t>
  </si>
  <si>
    <t>Пловни објекти - каско</t>
  </si>
  <si>
    <t>Стока во превоз - карго</t>
  </si>
  <si>
    <t>Имот од пожари и други непогоди</t>
  </si>
  <si>
    <t xml:space="preserve">Останати осигурувања на имот </t>
  </si>
  <si>
    <t>АО (вкупно )</t>
  </si>
  <si>
    <t>Одговорност воздухоплови</t>
  </si>
  <si>
    <t>Одговорност пловни објекти</t>
  </si>
  <si>
    <t xml:space="preserve">Општо осигурување од одговорност </t>
  </si>
  <si>
    <t>Осигурување на кредити</t>
  </si>
  <si>
    <t>Осигурување на гаранции</t>
  </si>
  <si>
    <t>Осигурување од финансиски загуби</t>
  </si>
  <si>
    <t>Осигурување на правна заштита</t>
  </si>
  <si>
    <t>Осигурување на туристичка помош</t>
  </si>
  <si>
    <t xml:space="preserve">Вкупно  </t>
  </si>
  <si>
    <t xml:space="preserve">% по друштво за неживотно осигурување </t>
  </si>
  <si>
    <t>Граве</t>
  </si>
  <si>
    <t>Неживот</t>
  </si>
  <si>
    <t>Живот</t>
  </si>
  <si>
    <t xml:space="preserve">% по друштво за животно осигурување </t>
  </si>
  <si>
    <t>во 000 мкд</t>
  </si>
  <si>
    <t xml:space="preserve">Вкупно </t>
  </si>
  <si>
    <t>Ос.полиса</t>
  </si>
  <si>
    <t>Патнички автомобили</t>
  </si>
  <si>
    <t>Товарни возила</t>
  </si>
  <si>
    <t>Автобуси</t>
  </si>
  <si>
    <t>Влечни возила</t>
  </si>
  <si>
    <t>Специјални возила</t>
  </si>
  <si>
    <t>Моторцикли и скутери</t>
  </si>
  <si>
    <t>Приклучни возила</t>
  </si>
  <si>
    <t>Работни моторни возила</t>
  </si>
  <si>
    <t>Возила за време на пробни возења и престој во складишта</t>
  </si>
  <si>
    <t>Возила за време на доопремување на сопствени оски (пер акс)</t>
  </si>
  <si>
    <t>Моторни возила со пробни таблици</t>
  </si>
  <si>
    <t>Возила за време на поправка во автомеханичарски и авторемонтни работилници и во работилници за перење и подмачкување</t>
  </si>
  <si>
    <t>Возила со посебни регистарски ознаки кои се во промет на територија на РМ</t>
  </si>
  <si>
    <t>000 мкд</t>
  </si>
  <si>
    <t xml:space="preserve">% </t>
  </si>
  <si>
    <t xml:space="preserve">Вкупно ЗК </t>
  </si>
  <si>
    <t>Вкупно (неживот)</t>
  </si>
  <si>
    <t>Вкупно (живот)</t>
  </si>
  <si>
    <t>Друштво за осигурување</t>
  </si>
  <si>
    <t>Трошоци за провизија</t>
  </si>
  <si>
    <t>Резерви за настанати и пријавени штети</t>
  </si>
  <si>
    <t>Резерви за настанати но непријавени штети</t>
  </si>
  <si>
    <t>Број на штети</t>
  </si>
  <si>
    <t>Исплатени износи</t>
  </si>
  <si>
    <t>Број на резервирани штети</t>
  </si>
  <si>
    <t>Неосигурени возила</t>
  </si>
  <si>
    <t>Непознати возила</t>
  </si>
  <si>
    <t>Останати услужни штети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</si>
  <si>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</si>
  <si>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Општа одговорност </t>
  </si>
  <si>
    <t>Македонија</t>
  </si>
  <si>
    <t xml:space="preserve">Директна продажба </t>
  </si>
  <si>
    <t>Осиг. брокерски друштва</t>
  </si>
  <si>
    <t>Друштва за застапување</t>
  </si>
  <si>
    <t>Туристички агенции</t>
  </si>
  <si>
    <t xml:space="preserve">Авто салони </t>
  </si>
  <si>
    <t>Банки</t>
  </si>
  <si>
    <t>Број на склучени договори</t>
  </si>
  <si>
    <t xml:space="preserve">Бруто полисирана премија </t>
  </si>
  <si>
    <t>Застапници во осигурување</t>
  </si>
  <si>
    <t>Останати дистрибутивни канали</t>
  </si>
  <si>
    <t>Математичка резерва</t>
  </si>
  <si>
    <t>Резерви на штети</t>
  </si>
  <si>
    <t>Ред.           бр.</t>
  </si>
  <si>
    <t>Резерви за преносна премија</t>
  </si>
  <si>
    <t>Резерви за бонуси и попусти</t>
  </si>
  <si>
    <t>Резерви за штети</t>
  </si>
  <si>
    <t>Еквилизациона резерва</t>
  </si>
  <si>
    <t>Други технички резерви</t>
  </si>
  <si>
    <t>Вкупно резерви за штети</t>
  </si>
  <si>
    <t>Друштво</t>
  </si>
  <si>
    <t>живот</t>
  </si>
  <si>
    <t xml:space="preserve"> Во 000 мкд</t>
  </si>
  <si>
    <t>Во 000 мкд</t>
  </si>
  <si>
    <t>Халк</t>
  </si>
  <si>
    <t>Граве н.</t>
  </si>
  <si>
    <t>Прва живот</t>
  </si>
  <si>
    <t>Зоил</t>
  </si>
  <si>
    <t>Бруто полисирана премија за период од 01.01.2025 до 31.12.2025</t>
  </si>
  <si>
    <t>Број на договори за период од 01.01.2025 до 31.12.2025</t>
  </si>
  <si>
    <t>Бруто исплатени (ликвидирани) штети за период од 01.01.2025 до 31.12.2025</t>
  </si>
  <si>
    <t>Број исплатени (ликвидирани) штети за период од 01.01.2025 до 31.12.2025</t>
  </si>
  <si>
    <t>Број на резервирани штети за период од 01.01.2025 до 31.12.2025</t>
  </si>
  <si>
    <t>Бруто резерви за настанати и пријавени штети за период од 01.01.2025 до 31.12.2025</t>
  </si>
  <si>
    <t>Бруто резерви за настанати но непријавени штети за период од 01.01.2025 до 31.12.2025</t>
  </si>
  <si>
    <t>Договори за ЗАО за период од 01.01.2025 до 31.12.2025</t>
  </si>
  <si>
    <t>Премија за ЗАО за период од 01.01.2025 до 31.12.2025</t>
  </si>
  <si>
    <t>Број на Зелена карта за период од 01.01.2025 до 31.12.2025</t>
  </si>
  <si>
    <t>Премија за Зелена карта за период од 01.01.2025 до 31.12.2025</t>
  </si>
  <si>
    <t>Број на Гранично осигурување за период од 01.01.2025 до 31.12.2025</t>
  </si>
  <si>
    <t>Премија за Гранично осигурување за период од 01.01.2025 до 31.12.2025</t>
  </si>
  <si>
    <t>Број на штети од ЗАО за период од 01.01.2025 до 31.12.2025</t>
  </si>
  <si>
    <t>Ликвидирани штети на ЗАО за период од 01.01.2025 до 31.12.2025</t>
  </si>
  <si>
    <t>Број на штети на Зелена карта за период од 01.01.2025 до 31.12.2025</t>
  </si>
  <si>
    <t>Ликвидирани штети за ЗК за период од 01.01.2025 до 31.12.2025</t>
  </si>
  <si>
    <t>Број на штети Гранично осигурување за период од 01.01.2025 до 31.12.2025</t>
  </si>
  <si>
    <t>Ликвидирани штети за Гранично осигурување за период од 01.01.2025 до 31.12.2025</t>
  </si>
  <si>
    <t>Техничка премија за период од 01.01.2025 до 31.12.2025</t>
  </si>
  <si>
    <t xml:space="preserve">          Резерви за настанати и пријавени, непријавени штети за период од 01.01.2025 до 31.12.2025</t>
  </si>
  <si>
    <t>Продажба по канали за период од 01.01.2025 до 31.12.2025 година</t>
  </si>
  <si>
    <t>Бруто технички резерви за периодот од  01.01.2025 до 31.12.2025</t>
  </si>
  <si>
    <t>Неосигурени возила, непознати возила и услужни штети за период од 01.01.2025 до 31.12.2025 година ( Вкупно )</t>
  </si>
  <si>
    <t>Преносна премија за период од 01.01.2025 до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</si>
</sst>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_(* #,##0_);_(* \(#,##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charset val="204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04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b/>
      <i/>
      <sz val="8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Calibri"/>
      <family val="2"/>
      <scheme val="minor"/>
    </font>
    <font>
      <b/>
      <sz val="10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sz val="10"/>
      <name val="Tahoma"/>
      <family val="2"/>
    </font>
    <font>
      <sz val="10"/>
      <name val="Tahoma"/>
      <family val="2"/>
    </font>
    <font>
      <sz val="8"/>
      <name val="Calibri"/>
      <family val="2"/>
      <charset val="204"/>
      <scheme val="minor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3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9" fillId="0" borderId="0"/>
    <xf numFmtId="0" fontId="40" fillId="0" borderId="0"/>
    <xf numFmtId="0" fontId="4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4">
    <xf numFmtId="0" fontId="0" fillId="0" borderId="0" xfId="0"/>
    <xf numFmtId="0" fontId="0" fillId="0" borderId="0" xfId="0"/>
    <xf numFmtId="0" fontId="5" fillId="0" borderId="0" xfId="1" applyFont="1"/>
    <xf numFmtId="0" fontId="6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3" fillId="0" borderId="0" xfId="1" applyFont="1"/>
    <xf numFmtId="0" fontId="5" fillId="2" borderId="6" xfId="1" applyFont="1" applyFill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3" fontId="11" fillId="3" borderId="0" xfId="1" applyNumberFormat="1" applyFont="1" applyFill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3" fontId="8" fillId="3" borderId="0" xfId="1" applyNumberFormat="1" applyFont="1" applyFill="1" applyBorder="1" applyAlignment="1">
      <alignment vertical="center"/>
    </xf>
    <xf numFmtId="3" fontId="8" fillId="4" borderId="0" xfId="1" applyNumberFormat="1" applyFont="1" applyFill="1" applyBorder="1" applyAlignment="1">
      <alignment vertical="center"/>
    </xf>
    <xf numFmtId="0" fontId="8" fillId="3" borderId="0" xfId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right" vertical="center"/>
    </xf>
    <xf numFmtId="0" fontId="6" fillId="3" borderId="0" xfId="1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10" fontId="12" fillId="3" borderId="1" xfId="2" applyNumberFormat="1" applyFont="1" applyFill="1" applyBorder="1" applyAlignment="1">
      <alignment vertical="center"/>
    </xf>
    <xf numFmtId="10" fontId="5" fillId="2" borderId="13" xfId="2" applyNumberFormat="1" applyFont="1" applyFill="1" applyBorder="1" applyAlignment="1">
      <alignment vertical="center"/>
    </xf>
    <xf numFmtId="10" fontId="5" fillId="3" borderId="1" xfId="2" applyNumberFormat="1" applyFont="1" applyFill="1" applyBorder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3" fontId="8" fillId="3" borderId="12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3" borderId="0" xfId="0" applyFont="1" applyFill="1" applyBorder="1" applyAlignment="1">
      <alignment horizontal="right" vertical="center"/>
    </xf>
    <xf numFmtId="3" fontId="8" fillId="3" borderId="0" xfId="0" applyNumberFormat="1" applyFont="1" applyFill="1" applyBorder="1"/>
    <xf numFmtId="3" fontId="8" fillId="3" borderId="0" xfId="0" applyNumberFormat="1" applyFont="1" applyFill="1" applyBorder="1" applyAlignment="1">
      <alignment vertical="center"/>
    </xf>
    <xf numFmtId="10" fontId="5" fillId="2" borderId="1" xfId="6" applyNumberFormat="1" applyFont="1" applyFill="1" applyBorder="1" applyAlignment="1">
      <alignment vertical="center"/>
    </xf>
    <xf numFmtId="10" fontId="5" fillId="3" borderId="1" xfId="6" applyNumberFormat="1" applyFont="1" applyFill="1" applyBorder="1" applyAlignment="1">
      <alignment vertical="center"/>
    </xf>
    <xf numFmtId="0" fontId="6" fillId="0" borderId="0" xfId="0" applyFont="1"/>
    <xf numFmtId="3" fontId="5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14" fillId="0" borderId="0" xfId="0" applyFont="1"/>
    <xf numFmtId="0" fontId="5" fillId="2" borderId="7" xfId="0" applyFont="1" applyFill="1" applyBorder="1" applyAlignment="1">
      <alignment vertical="center" wrapText="1"/>
    </xf>
    <xf numFmtId="3" fontId="5" fillId="2" borderId="7" xfId="0" applyNumberFormat="1" applyFont="1" applyFill="1" applyBorder="1" applyAlignment="1">
      <alignment vertical="center"/>
    </xf>
    <xf numFmtId="10" fontId="12" fillId="3" borderId="1" xfId="6" applyNumberFormat="1" applyFont="1" applyFill="1" applyBorder="1" applyAlignment="1">
      <alignment vertical="center"/>
    </xf>
    <xf numFmtId="10" fontId="5" fillId="2" borderId="13" xfId="6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11" fillId="3" borderId="0" xfId="0" applyNumberFormat="1" applyFont="1" applyFill="1" applyBorder="1" applyAlignment="1">
      <alignment vertical="center"/>
    </xf>
    <xf numFmtId="3" fontId="8" fillId="4" borderId="0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vertical="center"/>
    </xf>
    <xf numFmtId="3" fontId="5" fillId="3" borderId="7" xfId="0" applyNumberFormat="1" applyFont="1" applyFill="1" applyBorder="1" applyAlignment="1">
      <alignment vertical="center"/>
    </xf>
    <xf numFmtId="0" fontId="5" fillId="4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3" fontId="5" fillId="3" borderId="24" xfId="0" applyNumberFormat="1" applyFont="1" applyFill="1" applyBorder="1" applyAlignment="1">
      <alignment vertical="center"/>
    </xf>
    <xf numFmtId="3" fontId="5" fillId="2" borderId="16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10" fontId="5" fillId="3" borderId="13" xfId="6" applyNumberFormat="1" applyFont="1" applyFill="1" applyBorder="1" applyAlignment="1">
      <alignment vertical="center"/>
    </xf>
    <xf numFmtId="10" fontId="12" fillId="2" borderId="1" xfId="6" applyNumberFormat="1" applyFont="1" applyFill="1" applyBorder="1" applyAlignment="1">
      <alignment vertical="center"/>
    </xf>
    <xf numFmtId="10" fontId="5" fillId="3" borderId="1" xfId="0" applyNumberFormat="1" applyFont="1" applyFill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0" fontId="5" fillId="6" borderId="17" xfId="0" applyFont="1" applyFill="1" applyBorder="1"/>
    <xf numFmtId="0" fontId="5" fillId="6" borderId="0" xfId="0" applyFont="1" applyFill="1" applyBorder="1"/>
    <xf numFmtId="0" fontId="5" fillId="0" borderId="1" xfId="0" applyFont="1" applyBorder="1"/>
    <xf numFmtId="0" fontId="12" fillId="3" borderId="1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2" borderId="10" xfId="1" applyFont="1" applyFill="1" applyBorder="1" applyAlignment="1">
      <alignment vertical="center"/>
    </xf>
    <xf numFmtId="0" fontId="0" fillId="0" borderId="0" xfId="0" applyBorder="1"/>
    <xf numFmtId="10" fontId="12" fillId="2" borderId="1" xfId="2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3" fontId="5" fillId="3" borderId="4" xfId="0" applyNumberFormat="1" applyFont="1" applyFill="1" applyBorder="1" applyAlignment="1">
      <alignment vertical="center"/>
    </xf>
    <xf numFmtId="0" fontId="14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/>
    </xf>
    <xf numFmtId="0" fontId="4" fillId="0" borderId="0" xfId="0" applyFont="1"/>
    <xf numFmtId="3" fontId="24" fillId="2" borderId="4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14" fillId="0" borderId="25" xfId="0" applyNumberFormat="1" applyFont="1" applyBorder="1" applyAlignment="1">
      <alignment vertical="center"/>
    </xf>
    <xf numFmtId="3" fontId="14" fillId="2" borderId="6" xfId="0" applyNumberFormat="1" applyFont="1" applyFill="1" applyBorder="1" applyAlignment="1">
      <alignment vertical="center"/>
    </xf>
    <xf numFmtId="3" fontId="14" fillId="0" borderId="26" xfId="0" applyNumberFormat="1" applyFont="1" applyBorder="1" applyAlignment="1">
      <alignment vertical="center"/>
    </xf>
    <xf numFmtId="3" fontId="24" fillId="3" borderId="6" xfId="0" applyNumberFormat="1" applyFont="1" applyFill="1" applyBorder="1" applyAlignment="1">
      <alignment vertical="center"/>
    </xf>
    <xf numFmtId="3" fontId="14" fillId="0" borderId="28" xfId="0" applyNumberFormat="1" applyFont="1" applyBorder="1" applyAlignment="1">
      <alignment vertical="center"/>
    </xf>
    <xf numFmtId="3" fontId="14" fillId="2" borderId="4" xfId="0" applyNumberFormat="1" applyFont="1" applyFill="1" applyBorder="1" applyAlignment="1">
      <alignment vertical="center"/>
    </xf>
    <xf numFmtId="3" fontId="14" fillId="0" borderId="27" xfId="0" applyNumberFormat="1" applyFont="1" applyBorder="1" applyAlignment="1">
      <alignment vertical="center"/>
    </xf>
    <xf numFmtId="3" fontId="24" fillId="3" borderId="4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15" xfId="0" applyNumberFormat="1" applyFont="1" applyBorder="1" applyAlignment="1">
      <alignment vertical="center"/>
    </xf>
    <xf numFmtId="0" fontId="14" fillId="3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8" fillId="3" borderId="13" xfId="0" applyFont="1" applyFill="1" applyBorder="1" applyAlignment="1">
      <alignment horizontal="right" vertical="center"/>
    </xf>
    <xf numFmtId="3" fontId="11" fillId="3" borderId="12" xfId="0" applyNumberFormat="1" applyFont="1" applyFill="1" applyBorder="1" applyAlignment="1">
      <alignment vertical="center"/>
    </xf>
    <xf numFmtId="3" fontId="11" fillId="3" borderId="1" xfId="1" applyNumberFormat="1" applyFont="1" applyFill="1" applyBorder="1" applyAlignment="1">
      <alignment vertical="center"/>
    </xf>
    <xf numFmtId="3" fontId="8" fillId="2" borderId="13" xfId="1" applyNumberFormat="1" applyFont="1" applyFill="1" applyBorder="1" applyAlignment="1">
      <alignment vertical="center"/>
    </xf>
    <xf numFmtId="3" fontId="8" fillId="3" borderId="1" xfId="1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3" fontId="14" fillId="2" borderId="7" xfId="0" applyNumberFormat="1" applyFont="1" applyFill="1" applyBorder="1" applyAlignment="1">
      <alignment vertical="center"/>
    </xf>
    <xf numFmtId="3" fontId="14" fillId="3" borderId="7" xfId="0" applyNumberFormat="1" applyFont="1" applyFill="1" applyBorder="1" applyAlignment="1">
      <alignment vertical="center"/>
    </xf>
    <xf numFmtId="3" fontId="14" fillId="3" borderId="9" xfId="0" applyNumberFormat="1" applyFont="1" applyFill="1" applyBorder="1" applyAlignment="1">
      <alignment vertical="center"/>
    </xf>
    <xf numFmtId="3" fontId="14" fillId="2" borderId="3" xfId="0" applyNumberFormat="1" applyFont="1" applyFill="1" applyBorder="1" applyAlignment="1">
      <alignment vertical="center"/>
    </xf>
    <xf numFmtId="3" fontId="23" fillId="2" borderId="3" xfId="0" applyNumberFormat="1" applyFont="1" applyFill="1" applyBorder="1" applyAlignment="1">
      <alignment vertical="center"/>
    </xf>
    <xf numFmtId="3" fontId="23" fillId="3" borderId="7" xfId="0" applyNumberFormat="1" applyFont="1" applyFill="1" applyBorder="1" applyAlignment="1">
      <alignment vertical="center"/>
    </xf>
    <xf numFmtId="3" fontId="23" fillId="2" borderId="9" xfId="0" applyNumberFormat="1" applyFont="1" applyFill="1" applyBorder="1" applyAlignment="1">
      <alignment vertical="center"/>
    </xf>
    <xf numFmtId="3" fontId="14" fillId="2" borderId="9" xfId="0" applyNumberFormat="1" applyFont="1" applyFill="1" applyBorder="1" applyAlignment="1">
      <alignment vertical="center"/>
    </xf>
    <xf numFmtId="3" fontId="23" fillId="2" borderId="7" xfId="0" applyNumberFormat="1" applyFont="1" applyFill="1" applyBorder="1" applyAlignment="1">
      <alignment vertical="center"/>
    </xf>
    <xf numFmtId="3" fontId="5" fillId="3" borderId="6" xfId="1" applyNumberFormat="1" applyFont="1" applyFill="1" applyBorder="1" applyAlignment="1">
      <alignment vertical="center"/>
    </xf>
    <xf numFmtId="3" fontId="5" fillId="3" borderId="16" xfId="0" applyNumberFormat="1" applyFont="1" applyFill="1" applyBorder="1" applyAlignment="1">
      <alignment vertical="center"/>
    </xf>
    <xf numFmtId="3" fontId="5" fillId="2" borderId="3" xfId="1" applyNumberFormat="1" applyFont="1" applyFill="1" applyBorder="1" applyAlignment="1">
      <alignment vertical="center"/>
    </xf>
    <xf numFmtId="3" fontId="5" fillId="2" borderId="16" xfId="1" applyNumberFormat="1" applyFont="1" applyFill="1" applyBorder="1" applyAlignment="1">
      <alignment vertical="center"/>
    </xf>
    <xf numFmtId="3" fontId="5" fillId="3" borderId="7" xfId="1" applyNumberFormat="1" applyFont="1" applyFill="1" applyBorder="1" applyAlignment="1">
      <alignment vertical="center"/>
    </xf>
    <xf numFmtId="3" fontId="5" fillId="3" borderId="9" xfId="1" applyNumberFormat="1" applyFont="1" applyFill="1" applyBorder="1" applyAlignment="1">
      <alignment vertical="center"/>
    </xf>
    <xf numFmtId="3" fontId="5" fillId="3" borderId="3" xfId="1" applyNumberFormat="1" applyFont="1" applyFill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3" fontId="31" fillId="3" borderId="1" xfId="1" applyNumberFormat="1" applyFont="1" applyFill="1" applyBorder="1" applyAlignment="1">
      <alignment vertical="center"/>
    </xf>
    <xf numFmtId="3" fontId="31" fillId="2" borderId="13" xfId="1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7" xfId="0" applyFont="1" applyFill="1" applyBorder="1" applyAlignment="1">
      <alignment horizontal="left" vertical="center" wrapText="1"/>
    </xf>
    <xf numFmtId="1" fontId="5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2" fontId="7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wrapText="1"/>
    </xf>
    <xf numFmtId="10" fontId="5" fillId="3" borderId="1" xfId="6" applyNumberFormat="1" applyFont="1" applyFill="1" applyBorder="1"/>
    <xf numFmtId="0" fontId="32" fillId="0" borderId="0" xfId="0" applyFont="1"/>
    <xf numFmtId="0" fontId="33" fillId="0" borderId="0" xfId="0" applyFont="1"/>
    <xf numFmtId="0" fontId="4" fillId="0" borderId="0" xfId="0" applyFont="1" applyAlignment="1">
      <alignment vertical="center"/>
    </xf>
    <xf numFmtId="3" fontId="12" fillId="0" borderId="1" xfId="0" applyNumberFormat="1" applyFont="1" applyBorder="1" applyAlignment="1">
      <alignment vertical="center"/>
    </xf>
    <xf numFmtId="2" fontId="5" fillId="0" borderId="11" xfId="0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vertical="center"/>
    </xf>
    <xf numFmtId="0" fontId="0" fillId="0" borderId="0" xfId="0" applyAlignment="1"/>
    <xf numFmtId="3" fontId="23" fillId="3" borderId="3" xfId="0" applyNumberFormat="1" applyFont="1" applyFill="1" applyBorder="1" applyAlignment="1">
      <alignment vertical="center"/>
    </xf>
    <xf numFmtId="3" fontId="19" fillId="3" borderId="39" xfId="0" applyNumberFormat="1" applyFont="1" applyFill="1" applyBorder="1" applyAlignment="1">
      <alignment vertical="center"/>
    </xf>
    <xf numFmtId="3" fontId="19" fillId="3" borderId="40" xfId="0" applyNumberFormat="1" applyFont="1" applyFill="1" applyBorder="1" applyAlignment="1">
      <alignment vertical="center"/>
    </xf>
    <xf numFmtId="1" fontId="19" fillId="0" borderId="39" xfId="0" applyNumberFormat="1" applyFont="1" applyBorder="1" applyAlignment="1">
      <alignment vertical="center"/>
    </xf>
    <xf numFmtId="3" fontId="19" fillId="0" borderId="39" xfId="0" applyNumberFormat="1" applyFont="1" applyBorder="1" applyAlignment="1">
      <alignment vertical="center"/>
    </xf>
    <xf numFmtId="3" fontId="19" fillId="0" borderId="40" xfId="0" applyNumberFormat="1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2" fontId="5" fillId="0" borderId="39" xfId="0" applyNumberFormat="1" applyFont="1" applyBorder="1" applyAlignment="1">
      <alignment horizontal="center" vertical="center"/>
    </xf>
    <xf numFmtId="3" fontId="12" fillId="0" borderId="42" xfId="0" applyNumberFormat="1" applyFont="1" applyBorder="1" applyAlignment="1">
      <alignment vertical="center"/>
    </xf>
    <xf numFmtId="0" fontId="5" fillId="0" borderId="48" xfId="1" applyFont="1" applyBorder="1" applyAlignment="1">
      <alignment horizontal="center" vertical="center"/>
    </xf>
    <xf numFmtId="0" fontId="6" fillId="2" borderId="42" xfId="1" applyFont="1" applyFill="1" applyBorder="1" applyAlignment="1">
      <alignment vertical="center"/>
    </xf>
    <xf numFmtId="3" fontId="5" fillId="2" borderId="42" xfId="0" applyNumberFormat="1" applyFont="1" applyFill="1" applyBorder="1" applyAlignment="1">
      <alignment vertical="center"/>
    </xf>
    <xf numFmtId="3" fontId="5" fillId="0" borderId="42" xfId="0" applyNumberFormat="1" applyFont="1" applyBorder="1" applyAlignment="1">
      <alignment vertical="center"/>
    </xf>
    <xf numFmtId="3" fontId="5" fillId="2" borderId="43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3" fontId="42" fillId="2" borderId="4" xfId="0" applyNumberFormat="1" applyFont="1" applyFill="1" applyBorder="1" applyAlignment="1">
      <alignment vertical="center" wrapText="1"/>
    </xf>
    <xf numFmtId="3" fontId="5" fillId="0" borderId="12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0" fontId="28" fillId="2" borderId="17" xfId="0" applyFont="1" applyFill="1" applyBorder="1" applyAlignment="1">
      <alignment horizontal="center" vertical="center"/>
    </xf>
    <xf numFmtId="3" fontId="12" fillId="0" borderId="14" xfId="0" applyNumberFormat="1" applyFont="1" applyBorder="1" applyAlignment="1">
      <alignment vertical="center"/>
    </xf>
    <xf numFmtId="4" fontId="5" fillId="3" borderId="7" xfId="1" applyNumberFormat="1" applyFont="1" applyFill="1" applyBorder="1" applyAlignment="1">
      <alignment vertical="center"/>
    </xf>
    <xf numFmtId="3" fontId="0" fillId="0" borderId="0" xfId="0" applyNumberFormat="1"/>
    <xf numFmtId="3" fontId="23" fillId="3" borderId="9" xfId="0" applyNumberFormat="1" applyFont="1" applyFill="1" applyBorder="1" applyAlignment="1">
      <alignment vertical="center"/>
    </xf>
    <xf numFmtId="3" fontId="12" fillId="2" borderId="4" xfId="0" applyNumberFormat="1" applyFont="1" applyFill="1" applyBorder="1" applyAlignment="1">
      <alignment vertical="center" wrapText="1"/>
    </xf>
    <xf numFmtId="3" fontId="23" fillId="2" borderId="6" xfId="0" applyNumberFormat="1" applyFont="1" applyFill="1" applyBorder="1" applyAlignment="1">
      <alignment vertical="center" wrapText="1"/>
    </xf>
    <xf numFmtId="3" fontId="23" fillId="2" borderId="4" xfId="0" applyNumberFormat="1" applyFont="1" applyFill="1" applyBorder="1" applyAlignment="1">
      <alignment vertical="center" wrapText="1"/>
    </xf>
    <xf numFmtId="3" fontId="42" fillId="7" borderId="49" xfId="0" applyNumberFormat="1" applyFont="1" applyFill="1" applyBorder="1" applyAlignment="1">
      <alignment vertical="center" wrapText="1"/>
    </xf>
    <xf numFmtId="3" fontId="14" fillId="2" borderId="50" xfId="0" applyNumberFormat="1" applyFont="1" applyFill="1" applyBorder="1" applyAlignment="1">
      <alignment vertical="center"/>
    </xf>
    <xf numFmtId="3" fontId="14" fillId="3" borderId="51" xfId="0" applyNumberFormat="1" applyFont="1" applyFill="1" applyBorder="1" applyAlignment="1">
      <alignment vertical="center"/>
    </xf>
    <xf numFmtId="3" fontId="42" fillId="7" borderId="7" xfId="0" applyNumberFormat="1" applyFont="1" applyFill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3" fontId="5" fillId="0" borderId="52" xfId="0" applyNumberFormat="1" applyFont="1" applyBorder="1" applyAlignment="1">
      <alignment vertical="center"/>
    </xf>
    <xf numFmtId="3" fontId="43" fillId="2" borderId="42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3" fontId="5" fillId="2" borderId="20" xfId="0" applyNumberFormat="1" applyFont="1" applyFill="1" applyBorder="1" applyAlignment="1">
      <alignment vertical="center"/>
    </xf>
    <xf numFmtId="2" fontId="5" fillId="0" borderId="10" xfId="0" applyNumberFormat="1" applyFont="1" applyBorder="1" applyAlignment="1">
      <alignment horizontal="center" vertical="center"/>
    </xf>
    <xf numFmtId="3" fontId="5" fillId="2" borderId="11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vertical="center" wrapText="1"/>
    </xf>
    <xf numFmtId="4" fontId="14" fillId="2" borderId="9" xfId="0" applyNumberFormat="1" applyFont="1" applyFill="1" applyBorder="1" applyAlignment="1">
      <alignment vertical="center"/>
    </xf>
    <xf numFmtId="3" fontId="14" fillId="2" borderId="51" xfId="0" applyNumberFormat="1" applyFont="1" applyFill="1" applyBorder="1" applyAlignment="1">
      <alignment vertical="center"/>
    </xf>
    <xf numFmtId="3" fontId="23" fillId="2" borderId="17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4" fillId="0" borderId="39" xfId="0" applyFont="1" applyBorder="1"/>
    <xf numFmtId="4" fontId="0" fillId="0" borderId="39" xfId="0" applyNumberFormat="1" applyBorder="1"/>
    <xf numFmtId="0" fontId="0" fillId="0" borderId="54" xfId="0" applyBorder="1"/>
    <xf numFmtId="3" fontId="23" fillId="2" borderId="39" xfId="0" applyNumberFormat="1" applyFont="1" applyFill="1" applyBorder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3" fontId="5" fillId="8" borderId="3" xfId="1" applyNumberFormat="1" applyFont="1" applyFill="1" applyBorder="1" applyAlignment="1">
      <alignment vertical="center"/>
    </xf>
    <xf numFmtId="3" fontId="5" fillId="8" borderId="43" xfId="0" applyNumberFormat="1" applyFont="1" applyFill="1" applyBorder="1" applyAlignment="1">
      <alignment vertical="center"/>
    </xf>
    <xf numFmtId="10" fontId="12" fillId="8" borderId="1" xfId="2" applyNumberFormat="1" applyFont="1" applyFill="1" applyBorder="1" applyAlignment="1">
      <alignment vertical="center"/>
    </xf>
    <xf numFmtId="3" fontId="8" fillId="8" borderId="2" xfId="0" applyNumberFormat="1" applyFont="1" applyFill="1" applyBorder="1" applyAlignment="1">
      <alignment vertical="center"/>
    </xf>
    <xf numFmtId="10" fontId="8" fillId="2" borderId="19" xfId="0" applyNumberFormat="1" applyFont="1" applyFill="1" applyBorder="1" applyAlignment="1">
      <alignment vertical="center"/>
    </xf>
    <xf numFmtId="3" fontId="8" fillId="8" borderId="1" xfId="0" applyNumberFormat="1" applyFont="1" applyFill="1" applyBorder="1" applyAlignment="1">
      <alignment vertical="center"/>
    </xf>
    <xf numFmtId="10" fontId="8" fillId="2" borderId="1" xfId="0" applyNumberFormat="1" applyFont="1" applyFill="1" applyBorder="1" applyAlignment="1">
      <alignment vertical="center"/>
    </xf>
    <xf numFmtId="3" fontId="8" fillId="8" borderId="11" xfId="0" applyNumberFormat="1" applyFont="1" applyFill="1" applyBorder="1" applyAlignment="1">
      <alignment vertical="center"/>
    </xf>
    <xf numFmtId="10" fontId="8" fillId="2" borderId="20" xfId="0" applyNumberFormat="1" applyFont="1" applyFill="1" applyBorder="1" applyAlignment="1">
      <alignment vertical="center"/>
    </xf>
    <xf numFmtId="3" fontId="5" fillId="8" borderId="52" xfId="1" applyNumberFormat="1" applyFont="1" applyFill="1" applyBorder="1" applyAlignment="1">
      <alignment vertical="center"/>
    </xf>
    <xf numFmtId="3" fontId="5" fillId="8" borderId="50" xfId="1" applyNumberFormat="1" applyFont="1" applyFill="1" applyBorder="1" applyAlignment="1">
      <alignment vertical="center"/>
    </xf>
    <xf numFmtId="3" fontId="12" fillId="8" borderId="50" xfId="1" applyNumberFormat="1" applyFont="1" applyFill="1" applyBorder="1" applyAlignment="1">
      <alignment vertical="center"/>
    </xf>
    <xf numFmtId="3" fontId="5" fillId="8" borderId="9" xfId="1" applyNumberFormat="1" applyFont="1" applyFill="1" applyBorder="1" applyAlignment="1">
      <alignment vertical="center"/>
    </xf>
    <xf numFmtId="3" fontId="8" fillId="8" borderId="1" xfId="1" applyNumberFormat="1" applyFont="1" applyFill="1" applyBorder="1" applyAlignment="1">
      <alignment vertical="center"/>
    </xf>
    <xf numFmtId="3" fontId="5" fillId="8" borderId="14" xfId="0" applyNumberFormat="1" applyFont="1" applyFill="1" applyBorder="1" applyAlignment="1">
      <alignment vertical="center"/>
    </xf>
    <xf numFmtId="3" fontId="5" fillId="8" borderId="1" xfId="0" applyNumberFormat="1" applyFont="1" applyFill="1" applyBorder="1" applyAlignment="1">
      <alignment vertical="center"/>
    </xf>
    <xf numFmtId="10" fontId="5" fillId="8" borderId="1" xfId="0" applyNumberFormat="1" applyFont="1" applyFill="1" applyBorder="1"/>
    <xf numFmtId="0" fontId="4" fillId="2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3" fontId="5" fillId="8" borderId="52" xfId="0" applyNumberFormat="1" applyFont="1" applyFill="1" applyBorder="1" applyAlignment="1">
      <alignment vertical="center"/>
    </xf>
    <xf numFmtId="3" fontId="8" fillId="8" borderId="14" xfId="0" applyNumberFormat="1" applyFont="1" applyFill="1" applyBorder="1" applyAlignment="1">
      <alignment vertical="center"/>
    </xf>
    <xf numFmtId="10" fontId="5" fillId="8" borderId="1" xfId="6" applyNumberFormat="1" applyFont="1" applyFill="1" applyBorder="1" applyAlignme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3" fontId="8" fillId="8" borderId="1" xfId="0" applyNumberFormat="1" applyFont="1" applyFill="1" applyBorder="1" applyAlignment="1">
      <alignment horizontal="right" vertical="center"/>
    </xf>
    <xf numFmtId="3" fontId="8" fillId="8" borderId="11" xfId="0" applyNumberFormat="1" applyFont="1" applyFill="1" applyBorder="1" applyAlignment="1">
      <alignment horizontal="right" vertical="center"/>
    </xf>
    <xf numFmtId="164" fontId="5" fillId="8" borderId="1" xfId="6" applyNumberFormat="1" applyFont="1" applyFill="1" applyBorder="1" applyAlignment="1">
      <alignment vertical="center"/>
    </xf>
    <xf numFmtId="10" fontId="5" fillId="8" borderId="14" xfId="6" applyNumberFormat="1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3" fontId="5" fillId="2" borderId="36" xfId="0" applyNumberFormat="1" applyFont="1" applyFill="1" applyBorder="1" applyAlignment="1">
      <alignment vertical="center"/>
    </xf>
    <xf numFmtId="10" fontId="12" fillId="8" borderId="14" xfId="6" applyNumberFormat="1" applyFont="1" applyFill="1" applyBorder="1" applyAlignment="1">
      <alignment vertical="center"/>
    </xf>
    <xf numFmtId="3" fontId="5" fillId="4" borderId="22" xfId="0" applyNumberFormat="1" applyFont="1" applyFill="1" applyBorder="1" applyAlignment="1">
      <alignment vertical="center"/>
    </xf>
    <xf numFmtId="3" fontId="5" fillId="4" borderId="28" xfId="0" applyNumberFormat="1" applyFont="1" applyFill="1" applyBorder="1" applyAlignment="1">
      <alignment vertical="center"/>
    </xf>
    <xf numFmtId="0" fontId="27" fillId="3" borderId="20" xfId="1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3" fontId="24" fillId="8" borderId="52" xfId="0" applyNumberFormat="1" applyFont="1" applyFill="1" applyBorder="1" applyAlignment="1">
      <alignment vertical="center"/>
    </xf>
    <xf numFmtId="3" fontId="24" fillId="8" borderId="29" xfId="0" applyNumberFormat="1" applyFont="1" applyFill="1" applyBorder="1" applyAlignment="1">
      <alignment vertical="center"/>
    </xf>
    <xf numFmtId="3" fontId="24" fillId="8" borderId="30" xfId="0" applyNumberFormat="1" applyFont="1" applyFill="1" applyBorder="1" applyAlignment="1">
      <alignment horizontal="right" vertical="center"/>
    </xf>
    <xf numFmtId="3" fontId="24" fillId="8" borderId="1" xfId="0" applyNumberFormat="1" applyFont="1" applyFill="1" applyBorder="1" applyAlignment="1">
      <alignment horizontal="right" vertical="center"/>
    </xf>
    <xf numFmtId="3" fontId="24" fillId="8" borderId="6" xfId="0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6" borderId="2" xfId="0" applyFont="1" applyFill="1" applyBorder="1"/>
    <xf numFmtId="0" fontId="24" fillId="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vertical="center"/>
    </xf>
    <xf numFmtId="3" fontId="7" fillId="8" borderId="1" xfId="0" applyNumberFormat="1" applyFont="1" applyFill="1" applyBorder="1"/>
    <xf numFmtId="3" fontId="7" fillId="8" borderId="1" xfId="0" applyNumberFormat="1" applyFont="1" applyFill="1" applyBorder="1" applyAlignment="1">
      <alignment vertical="center"/>
    </xf>
    <xf numFmtId="3" fontId="7" fillId="8" borderId="11" xfId="0" applyNumberFormat="1" applyFont="1" applyFill="1" applyBorder="1" applyAlignment="1">
      <alignment vertical="center"/>
    </xf>
    <xf numFmtId="3" fontId="36" fillId="8" borderId="11" xfId="0" applyNumberFormat="1" applyFont="1" applyFill="1" applyBorder="1" applyAlignment="1">
      <alignment vertical="center"/>
    </xf>
    <xf numFmtId="3" fontId="36" fillId="8" borderId="1" xfId="0" applyNumberFormat="1" applyFont="1" applyFill="1" applyBorder="1" applyAlignment="1">
      <alignment vertical="center"/>
    </xf>
    <xf numFmtId="3" fontId="24" fillId="8" borderId="1" xfId="0" applyNumberFormat="1" applyFont="1" applyFill="1" applyBorder="1"/>
    <xf numFmtId="3" fontId="24" fillId="8" borderId="1" xfId="0" applyNumberFormat="1" applyFont="1" applyFill="1" applyBorder="1" applyAlignment="1">
      <alignment vertical="center"/>
    </xf>
    <xf numFmtId="3" fontId="31" fillId="8" borderId="1" xfId="0" applyNumberFormat="1" applyFont="1" applyFill="1" applyBorder="1" applyAlignment="1">
      <alignment vertical="center"/>
    </xf>
    <xf numFmtId="3" fontId="25" fillId="8" borderId="11" xfId="0" applyNumberFormat="1" applyFont="1" applyFill="1" applyBorder="1" applyAlignment="1">
      <alignment vertical="center"/>
    </xf>
    <xf numFmtId="3" fontId="37" fillId="8" borderId="11" xfId="0" applyNumberFormat="1" applyFont="1" applyFill="1" applyBorder="1" applyAlignment="1">
      <alignment vertical="center"/>
    </xf>
    <xf numFmtId="0" fontId="14" fillId="3" borderId="55" xfId="0" applyFont="1" applyFill="1" applyBorder="1" applyAlignment="1">
      <alignment vertical="center"/>
    </xf>
    <xf numFmtId="3" fontId="14" fillId="3" borderId="55" xfId="0" applyNumberFormat="1" applyFont="1" applyFill="1" applyBorder="1" applyAlignment="1">
      <alignment vertical="center"/>
    </xf>
    <xf numFmtId="3" fontId="23" fillId="3" borderId="55" xfId="0" applyNumberFormat="1" applyFont="1" applyFill="1" applyBorder="1" applyAlignment="1">
      <alignment vertical="center"/>
    </xf>
    <xf numFmtId="0" fontId="5" fillId="0" borderId="30" xfId="0" applyFont="1" applyBorder="1"/>
    <xf numFmtId="3" fontId="5" fillId="0" borderId="30" xfId="0" applyNumberFormat="1" applyFont="1" applyBorder="1"/>
    <xf numFmtId="3" fontId="5" fillId="0" borderId="20" xfId="0" applyNumberFormat="1" applyFont="1" applyBorder="1"/>
    <xf numFmtId="0" fontId="4" fillId="3" borderId="10" xfId="1" applyFont="1" applyFill="1" applyBorder="1" applyAlignment="1">
      <alignment horizontal="center" vertical="center"/>
    </xf>
    <xf numFmtId="3" fontId="5" fillId="3" borderId="22" xfId="1" applyNumberFormat="1" applyFont="1" applyFill="1" applyBorder="1" applyAlignment="1">
      <alignment vertical="center"/>
    </xf>
    <xf numFmtId="3" fontId="24" fillId="2" borderId="15" xfId="1" applyNumberFormat="1" applyFont="1" applyFill="1" applyBorder="1" applyAlignment="1">
      <alignment vertical="center"/>
    </xf>
    <xf numFmtId="3" fontId="5" fillId="2" borderId="39" xfId="1" applyNumberFormat="1" applyFont="1" applyFill="1" applyBorder="1" applyAlignment="1">
      <alignment vertical="center"/>
    </xf>
    <xf numFmtId="3" fontId="5" fillId="2" borderId="36" xfId="1" applyNumberFormat="1" applyFont="1" applyFill="1" applyBorder="1" applyAlignment="1">
      <alignment vertical="center"/>
    </xf>
    <xf numFmtId="0" fontId="4" fillId="2" borderId="42" xfId="1" applyFont="1" applyFill="1" applyBorder="1" applyAlignment="1">
      <alignment horizontal="center" vertical="center"/>
    </xf>
    <xf numFmtId="3" fontId="5" fillId="2" borderId="42" xfId="1" applyNumberFormat="1" applyFont="1" applyFill="1" applyBorder="1" applyAlignment="1">
      <alignment vertical="center"/>
    </xf>
    <xf numFmtId="3" fontId="24" fillId="3" borderId="10" xfId="1" applyNumberFormat="1" applyFont="1" applyFill="1" applyBorder="1" applyAlignment="1">
      <alignment vertical="center"/>
    </xf>
    <xf numFmtId="3" fontId="5" fillId="2" borderId="17" xfId="1" applyNumberFormat="1" applyFont="1" applyFill="1" applyBorder="1" applyAlignment="1">
      <alignment vertical="center"/>
    </xf>
    <xf numFmtId="3" fontId="24" fillId="2" borderId="5" xfId="1" applyNumberFormat="1" applyFont="1" applyFill="1" applyBorder="1" applyAlignment="1">
      <alignment vertical="center"/>
    </xf>
    <xf numFmtId="3" fontId="24" fillId="2" borderId="56" xfId="1" applyNumberFormat="1" applyFont="1" applyFill="1" applyBorder="1" applyAlignment="1">
      <alignment vertical="center"/>
    </xf>
    <xf numFmtId="3" fontId="24" fillId="3" borderId="0" xfId="1" applyNumberFormat="1" applyFont="1" applyFill="1" applyBorder="1" applyAlignment="1">
      <alignment vertical="center"/>
    </xf>
    <xf numFmtId="0" fontId="0" fillId="3" borderId="0" xfId="0" applyFill="1" applyBorder="1"/>
    <xf numFmtId="10" fontId="5" fillId="3" borderId="0" xfId="2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42" xfId="1" applyFont="1" applyFill="1" applyBorder="1" applyAlignment="1">
      <alignment horizontal="center" vertical="center"/>
    </xf>
    <xf numFmtId="3" fontId="5" fillId="3" borderId="36" xfId="1" applyNumberFormat="1" applyFont="1" applyFill="1" applyBorder="1" applyAlignment="1">
      <alignment vertical="center"/>
    </xf>
    <xf numFmtId="3" fontId="5" fillId="3" borderId="39" xfId="1" applyNumberFormat="1" applyFont="1" applyFill="1" applyBorder="1" applyAlignment="1">
      <alignment vertical="center"/>
    </xf>
    <xf numFmtId="3" fontId="5" fillId="3" borderId="42" xfId="1" applyNumberFormat="1" applyFont="1" applyFill="1" applyBorder="1" applyAlignment="1">
      <alignment vertical="center"/>
    </xf>
    <xf numFmtId="0" fontId="4" fillId="2" borderId="29" xfId="1" applyFont="1" applyFill="1" applyBorder="1" applyAlignment="1">
      <alignment horizontal="center" vertical="center"/>
    </xf>
    <xf numFmtId="3" fontId="5" fillId="2" borderId="52" xfId="1" applyNumberFormat="1" applyFont="1" applyFill="1" applyBorder="1" applyAlignment="1">
      <alignment vertical="center"/>
    </xf>
    <xf numFmtId="3" fontId="5" fillId="2" borderId="30" xfId="1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3" fontId="5" fillId="3" borderId="16" xfId="1" applyNumberFormat="1" applyFont="1" applyFill="1" applyBorder="1" applyAlignment="1">
      <alignment vertical="center"/>
    </xf>
    <xf numFmtId="3" fontId="5" fillId="3" borderId="0" xfId="1" applyNumberFormat="1" applyFont="1" applyFill="1" applyBorder="1" applyAlignment="1">
      <alignment vertical="center"/>
    </xf>
    <xf numFmtId="3" fontId="24" fillId="3" borderId="56" xfId="1" applyNumberFormat="1" applyFont="1" applyFill="1" applyBorder="1" applyAlignment="1">
      <alignment vertical="center"/>
    </xf>
    <xf numFmtId="0" fontId="4" fillId="3" borderId="28" xfId="1" applyFont="1" applyFill="1" applyBorder="1" applyAlignment="1">
      <alignment horizontal="center" vertical="center" wrapText="1"/>
    </xf>
    <xf numFmtId="3" fontId="5" fillId="3" borderId="17" xfId="1" applyNumberFormat="1" applyFont="1" applyFill="1" applyBorder="1" applyAlignment="1">
      <alignment vertical="center"/>
    </xf>
    <xf numFmtId="3" fontId="24" fillId="3" borderId="57" xfId="1" applyNumberFormat="1" applyFont="1" applyFill="1" applyBorder="1" applyAlignment="1">
      <alignment vertical="center"/>
    </xf>
    <xf numFmtId="3" fontId="24" fillId="8" borderId="1" xfId="1" applyNumberFormat="1" applyFont="1" applyFill="1" applyBorder="1" applyAlignment="1">
      <alignment vertical="center"/>
    </xf>
    <xf numFmtId="3" fontId="8" fillId="2" borderId="1" xfId="1" applyNumberFormat="1" applyFont="1" applyFill="1" applyBorder="1" applyAlignment="1">
      <alignment vertical="center"/>
    </xf>
    <xf numFmtId="0" fontId="4" fillId="3" borderId="15" xfId="1" applyFont="1" applyFill="1" applyBorder="1" applyAlignment="1">
      <alignment horizontal="center" vertical="center"/>
    </xf>
    <xf numFmtId="3" fontId="8" fillId="3" borderId="13" xfId="1" applyNumberFormat="1" applyFont="1" applyFill="1" applyBorder="1" applyAlignment="1">
      <alignment vertical="center"/>
    </xf>
    <xf numFmtId="10" fontId="5" fillId="3" borderId="13" xfId="2" applyNumberFormat="1" applyFont="1" applyFill="1" applyBorder="1" applyAlignment="1">
      <alignment vertical="center"/>
    </xf>
    <xf numFmtId="10" fontId="5" fillId="2" borderId="1" xfId="2" applyNumberFormat="1" applyFont="1" applyFill="1" applyBorder="1" applyAlignment="1">
      <alignment vertical="center"/>
    </xf>
    <xf numFmtId="3" fontId="5" fillId="2" borderId="22" xfId="1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3" fontId="5" fillId="3" borderId="36" xfId="0" applyNumberFormat="1" applyFont="1" applyFill="1" applyBorder="1"/>
    <xf numFmtId="3" fontId="8" fillId="3" borderId="1" xfId="0" applyNumberFormat="1" applyFont="1" applyFill="1" applyBorder="1"/>
    <xf numFmtId="10" fontId="5" fillId="3" borderId="14" xfId="2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10" fontId="5" fillId="2" borderId="1" xfId="6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0" fillId="3" borderId="0" xfId="0" applyFill="1"/>
    <xf numFmtId="10" fontId="5" fillId="3" borderId="1" xfId="14" applyNumberFormat="1" applyFont="1" applyFill="1" applyBorder="1"/>
    <xf numFmtId="3" fontId="12" fillId="2" borderId="4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/>
    </xf>
    <xf numFmtId="3" fontId="5" fillId="3" borderId="1" xfId="0" applyNumberFormat="1" applyFont="1" applyFill="1" applyBorder="1"/>
    <xf numFmtId="0" fontId="5" fillId="3" borderId="0" xfId="0" applyFont="1" applyFill="1"/>
    <xf numFmtId="0" fontId="4" fillId="3" borderId="18" xfId="1" applyFont="1" applyFill="1" applyBorder="1" applyAlignment="1">
      <alignment horizontal="center" vertical="center"/>
    </xf>
    <xf numFmtId="3" fontId="8" fillId="3" borderId="11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59" xfId="0" applyFont="1" applyFill="1" applyBorder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3" fontId="8" fillId="4" borderId="11" xfId="0" applyNumberFormat="1" applyFont="1" applyFill="1" applyBorder="1" applyAlignment="1">
      <alignment vertical="center"/>
    </xf>
    <xf numFmtId="3" fontId="8" fillId="2" borderId="15" xfId="0" applyNumberFormat="1" applyFont="1" applyFill="1" applyBorder="1" applyAlignment="1">
      <alignment vertical="center"/>
    </xf>
    <xf numFmtId="3" fontId="11" fillId="4" borderId="11" xfId="0" applyNumberFormat="1" applyFont="1" applyFill="1" applyBorder="1" applyAlignment="1">
      <alignment vertical="center"/>
    </xf>
    <xf numFmtId="3" fontId="8" fillId="2" borderId="11" xfId="0" applyNumberFormat="1" applyFont="1" applyFill="1" applyBorder="1" applyAlignment="1">
      <alignment vertical="center"/>
    </xf>
    <xf numFmtId="3" fontId="11" fillId="2" borderId="11" xfId="0" applyNumberFormat="1" applyFont="1" applyFill="1" applyBorder="1" applyAlignment="1">
      <alignment vertical="center"/>
    </xf>
    <xf numFmtId="3" fontId="8" fillId="3" borderId="11" xfId="0" applyNumberFormat="1" applyFont="1" applyFill="1" applyBorder="1"/>
    <xf numFmtId="3" fontId="8" fillId="8" borderId="20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center" vertical="center"/>
    </xf>
    <xf numFmtId="3" fontId="5" fillId="2" borderId="60" xfId="0" applyNumberFormat="1" applyFont="1" applyFill="1" applyBorder="1" applyAlignment="1">
      <alignment vertical="center"/>
    </xf>
    <xf numFmtId="3" fontId="5" fillId="8" borderId="38" xfId="0" applyNumberFormat="1" applyFont="1" applyFill="1" applyBorder="1" applyAlignment="1">
      <alignment vertical="center"/>
    </xf>
    <xf numFmtId="3" fontId="5" fillId="4" borderId="7" xfId="0" applyNumberFormat="1" applyFont="1" applyFill="1" applyBorder="1" applyAlignment="1">
      <alignment vertical="center"/>
    </xf>
    <xf numFmtId="3" fontId="5" fillId="2" borderId="7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5" fillId="3" borderId="7" xfId="0" applyNumberFormat="1" applyFont="1" applyFill="1" applyBorder="1"/>
    <xf numFmtId="0" fontId="4" fillId="2" borderId="0" xfId="0" applyFont="1" applyFill="1" applyBorder="1" applyAlignment="1">
      <alignment horizontal="center" vertical="center"/>
    </xf>
    <xf numFmtId="3" fontId="8" fillId="3" borderId="10" xfId="0" applyNumberFormat="1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3" fontId="5" fillId="2" borderId="25" xfId="0" applyNumberFormat="1" applyFont="1" applyFill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166" fontId="5" fillId="3" borderId="36" xfId="13" applyNumberFormat="1" applyFont="1" applyFill="1" applyBorder="1"/>
    <xf numFmtId="2" fontId="5" fillId="3" borderId="36" xfId="13" applyNumberFormat="1" applyFont="1" applyFill="1" applyBorder="1"/>
    <xf numFmtId="1" fontId="5" fillId="3" borderId="36" xfId="13" applyNumberFormat="1" applyFont="1" applyFill="1" applyBorder="1"/>
    <xf numFmtId="166" fontId="8" fillId="3" borderId="1" xfId="13" applyNumberFormat="1" applyFont="1" applyFill="1" applyBorder="1"/>
    <xf numFmtId="3" fontId="5" fillId="3" borderId="16" xfId="0" applyNumberFormat="1" applyFont="1" applyFill="1" applyBorder="1" applyAlignment="1">
      <alignment vertical="center" wrapText="1"/>
    </xf>
    <xf numFmtId="3" fontId="5" fillId="3" borderId="36" xfId="0" applyNumberFormat="1" applyFont="1" applyFill="1" applyBorder="1" applyAlignment="1">
      <alignment vertical="center"/>
    </xf>
    <xf numFmtId="3" fontId="5" fillId="2" borderId="22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vertical="center"/>
    </xf>
    <xf numFmtId="10" fontId="5" fillId="2" borderId="12" xfId="6" applyNumberFormat="1" applyFont="1" applyFill="1" applyBorder="1" applyAlignment="1">
      <alignment vertical="center"/>
    </xf>
    <xf numFmtId="3" fontId="5" fillId="2" borderId="23" xfId="0" applyNumberFormat="1" applyFont="1" applyFill="1" applyBorder="1" applyAlignment="1">
      <alignment vertical="center"/>
    </xf>
    <xf numFmtId="3" fontId="5" fillId="3" borderId="52" xfId="0" applyNumberFormat="1" applyFont="1" applyFill="1" applyBorder="1" applyAlignment="1">
      <alignment vertical="center"/>
    </xf>
    <xf numFmtId="3" fontId="8" fillId="3" borderId="14" xfId="0" applyNumberFormat="1" applyFont="1" applyFill="1" applyBorder="1" applyAlignment="1">
      <alignment vertical="center"/>
    </xf>
    <xf numFmtId="3" fontId="5" fillId="3" borderId="39" xfId="0" applyNumberFormat="1" applyFont="1" applyFill="1" applyBorder="1"/>
    <xf numFmtId="3" fontId="5" fillId="3" borderId="61" xfId="0" applyNumberFormat="1" applyFont="1" applyFill="1" applyBorder="1"/>
    <xf numFmtId="3" fontId="5" fillId="3" borderId="61" xfId="0" applyNumberFormat="1" applyFont="1" applyFill="1" applyBorder="1" applyAlignment="1">
      <alignment vertical="center"/>
    </xf>
    <xf numFmtId="3" fontId="8" fillId="3" borderId="12" xfId="0" applyNumberFormat="1" applyFont="1" applyFill="1" applyBorder="1"/>
    <xf numFmtId="3" fontId="5" fillId="8" borderId="3" xfId="0" applyNumberFormat="1" applyFont="1" applyFill="1" applyBorder="1" applyAlignment="1">
      <alignment vertical="center"/>
    </xf>
    <xf numFmtId="10" fontId="5" fillId="2" borderId="1" xfId="0" applyNumberFormat="1" applyFont="1" applyFill="1" applyBorder="1" applyAlignment="1">
      <alignment vertical="center" wrapText="1"/>
    </xf>
    <xf numFmtId="10" fontId="5" fillId="2" borderId="12" xfId="0" applyNumberFormat="1" applyFont="1" applyFill="1" applyBorder="1" applyAlignment="1">
      <alignment vertical="center" wrapText="1"/>
    </xf>
    <xf numFmtId="3" fontId="5" fillId="3" borderId="12" xfId="0" applyNumberFormat="1" applyFont="1" applyFill="1" applyBorder="1"/>
    <xf numFmtId="3" fontId="12" fillId="8" borderId="3" xfId="0" applyNumberFormat="1" applyFont="1" applyFill="1" applyBorder="1" applyAlignment="1">
      <alignment vertical="center"/>
    </xf>
    <xf numFmtId="3" fontId="12" fillId="2" borderId="7" xfId="0" applyNumberFormat="1" applyFont="1" applyFill="1" applyBorder="1" applyAlignment="1">
      <alignment vertical="center"/>
    </xf>
    <xf numFmtId="3" fontId="5" fillId="8" borderId="7" xfId="0" applyNumberFormat="1" applyFont="1" applyFill="1" applyBorder="1" applyAlignment="1">
      <alignment vertical="center"/>
    </xf>
    <xf numFmtId="164" fontId="5" fillId="3" borderId="13" xfId="6" applyNumberFormat="1" applyFont="1" applyFill="1" applyBorder="1" applyAlignment="1">
      <alignment vertical="center"/>
    </xf>
    <xf numFmtId="166" fontId="5" fillId="3" borderId="7" xfId="13" applyNumberFormat="1" applyFont="1" applyFill="1" applyBorder="1"/>
    <xf numFmtId="166" fontId="8" fillId="3" borderId="11" xfId="13" applyNumberFormat="1" applyFont="1" applyFill="1" applyBorder="1"/>
    <xf numFmtId="0" fontId="19" fillId="2" borderId="2" xfId="0" applyFont="1" applyFill="1" applyBorder="1" applyAlignment="1">
      <alignment horizontal="center" vertical="center"/>
    </xf>
    <xf numFmtId="2" fontId="5" fillId="3" borderId="7" xfId="13" applyNumberFormat="1" applyFont="1" applyFill="1" applyBorder="1"/>
    <xf numFmtId="1" fontId="5" fillId="3" borderId="7" xfId="13" applyNumberFormat="1" applyFont="1" applyFill="1" applyBorder="1"/>
    <xf numFmtId="3" fontId="5" fillId="3" borderId="1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10" fontId="5" fillId="3" borderId="1" xfId="6" applyNumberFormat="1" applyFont="1" applyFill="1" applyBorder="1" applyAlignment="1">
      <alignment horizontal="center" vertical="center"/>
    </xf>
    <xf numFmtId="10" fontId="5" fillId="2" borderId="1" xfId="6" applyNumberFormat="1" applyFont="1" applyFill="1" applyBorder="1" applyAlignment="1">
      <alignment horizontal="center" vertical="center"/>
    </xf>
    <xf numFmtId="10" fontId="5" fillId="3" borderId="1" xfId="14" applyNumberFormat="1" applyFont="1" applyFill="1" applyBorder="1" applyAlignment="1">
      <alignment horizontal="center" vertical="center"/>
    </xf>
    <xf numFmtId="164" fontId="5" fillId="8" borderId="1" xfId="6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0" borderId="0" xfId="1" applyFont="1" applyBorder="1" applyAlignment="1">
      <alignment horizontal="center" vertical="center" wrapText="1"/>
    </xf>
    <xf numFmtId="0" fontId="41" fillId="0" borderId="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12" fillId="5" borderId="5" xfId="1" applyFont="1" applyFill="1" applyBorder="1" applyAlignment="1">
      <alignment horizontal="center" vertical="center" wrapText="1"/>
    </xf>
    <xf numFmtId="0" fontId="2" fillId="2" borderId="8" xfId="1" applyFill="1" applyBorder="1" applyAlignment="1">
      <alignment vertical="center" wrapText="1"/>
    </xf>
    <xf numFmtId="0" fontId="8" fillId="8" borderId="46" xfId="0" applyFont="1" applyFill="1" applyBorder="1" applyAlignment="1">
      <alignment horizontal="center" vertical="center" wrapText="1"/>
    </xf>
    <xf numFmtId="0" fontId="8" fillId="8" borderId="50" xfId="0" applyFont="1" applyFill="1" applyBorder="1" applyAlignment="1">
      <alignment vertical="center" wrapText="1"/>
    </xf>
    <xf numFmtId="2" fontId="5" fillId="0" borderId="53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0" fontId="7" fillId="8" borderId="6" xfId="1" applyFont="1" applyFill="1" applyBorder="1" applyAlignment="1">
      <alignment horizontal="center" vertical="center" wrapText="1"/>
    </xf>
    <xf numFmtId="0" fontId="44" fillId="8" borderId="4" xfId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left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vertical="center" wrapText="1"/>
    </xf>
    <xf numFmtId="2" fontId="5" fillId="0" borderId="53" xfId="0" applyNumberFormat="1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center" wrapText="1"/>
    </xf>
    <xf numFmtId="2" fontId="5" fillId="0" borderId="19" xfId="0" applyNumberFormat="1" applyFont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44" fillId="8" borderId="29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8" fillId="2" borderId="12" xfId="0" applyFont="1" applyFill="1" applyBorder="1" applyAlignment="1">
      <alignment wrapText="1"/>
    </xf>
    <xf numFmtId="0" fontId="8" fillId="2" borderId="14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15" xfId="0" applyFont="1" applyFill="1" applyBorder="1" applyAlignment="1">
      <alignment wrapText="1"/>
    </xf>
    <xf numFmtId="0" fontId="5" fillId="0" borderId="44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4" fillId="2" borderId="45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wrapText="1"/>
    </xf>
    <xf numFmtId="0" fontId="8" fillId="2" borderId="18" xfId="0" applyFont="1" applyFill="1" applyBorder="1" applyAlignment="1">
      <alignment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vertical="center" wrapText="1"/>
    </xf>
    <xf numFmtId="2" fontId="5" fillId="0" borderId="5" xfId="0" applyNumberFormat="1" applyFont="1" applyBorder="1" applyAlignment="1">
      <alignment horizontal="center" wrapText="1"/>
    </xf>
    <xf numFmtId="2" fontId="5" fillId="0" borderId="56" xfId="0" applyNumberFormat="1" applyFont="1" applyBorder="1" applyAlignment="1">
      <alignment horizontal="center" wrapText="1"/>
    </xf>
    <xf numFmtId="2" fontId="5" fillId="0" borderId="57" xfId="0" applyNumberFormat="1" applyFont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vertical="center" wrapText="1"/>
    </xf>
    <xf numFmtId="0" fontId="44" fillId="8" borderId="5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2" fontId="5" fillId="0" borderId="39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44" fillId="8" borderId="30" xfId="0" applyFont="1" applyFill="1" applyBorder="1" applyAlignment="1">
      <alignment horizontal="center" vertical="center" wrapText="1"/>
    </xf>
    <xf numFmtId="0" fontId="45" fillId="8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45" fillId="8" borderId="3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wrapText="1"/>
    </xf>
    <xf numFmtId="0" fontId="20" fillId="5" borderId="5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 wrapText="1"/>
    </xf>
    <xf numFmtId="0" fontId="44" fillId="8" borderId="17" xfId="0" applyFont="1" applyFill="1" applyBorder="1" applyAlignment="1">
      <alignment horizontal="center" vertical="center" wrapText="1"/>
    </xf>
    <xf numFmtId="0" fontId="45" fillId="8" borderId="11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wrapText="1"/>
    </xf>
    <xf numFmtId="0" fontId="44" fillId="8" borderId="9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2" borderId="31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wrapText="1"/>
    </xf>
    <xf numFmtId="0" fontId="28" fillId="2" borderId="2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1" fillId="8" borderId="24" xfId="0" applyFont="1" applyFill="1" applyBorder="1" applyAlignment="1">
      <alignment horizontal="center" vertical="center" wrapText="1"/>
    </xf>
    <xf numFmtId="0" fontId="47" fillId="8" borderId="4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26" fillId="0" borderId="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34" fillId="8" borderId="10" xfId="0" applyFont="1" applyFill="1" applyBorder="1" applyAlignment="1">
      <alignment horizontal="right" vertical="center" wrapText="1"/>
    </xf>
    <xf numFmtId="0" fontId="35" fillId="8" borderId="20" xfId="0" applyFont="1" applyFill="1" applyBorder="1" applyAlignment="1">
      <alignment vertical="center" wrapText="1"/>
    </xf>
    <xf numFmtId="165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vertical="center" wrapText="1"/>
    </xf>
    <xf numFmtId="0" fontId="22" fillId="3" borderId="38" xfId="0" applyFont="1" applyFill="1" applyBorder="1" applyAlignment="1">
      <alignment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vertical="center" wrapText="1"/>
    </xf>
    <xf numFmtId="0" fontId="22" fillId="3" borderId="41" xfId="0" applyFont="1" applyFill="1" applyBorder="1" applyAlignment="1">
      <alignment vertical="center" wrapText="1"/>
    </xf>
    <xf numFmtId="2" fontId="38" fillId="0" borderId="0" xfId="0" applyNumberFormat="1" applyFont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</cellXfs>
  <cellStyles count="15">
    <cellStyle name="Comma" xfId="13" builtinId="3"/>
    <cellStyle name="Comma 2" xfId="8"/>
    <cellStyle name="Currency 2" xfId="9"/>
    <cellStyle name="Normal" xfId="0" builtinId="0"/>
    <cellStyle name="Normal 2" xfId="3"/>
    <cellStyle name="Normal 2 2" xfId="10"/>
    <cellStyle name="Normal 2 3" xfId="11"/>
    <cellStyle name="Normal 3" xfId="7"/>
    <cellStyle name="Normal 3 2" xfId="12"/>
    <cellStyle name="Normal 4" xfId="5"/>
    <cellStyle name="Normal 5" xfId="4"/>
    <cellStyle name="Normal 6" xfId="1"/>
    <cellStyle name="Percent" xfId="14" builtinId="5"/>
    <cellStyle name="Percent 2" xfId="6"/>
    <cellStyle name="Percent 3" xfId="2"/>
  </cellStyles>
  <dxfs count="0"/>
  <tableStyles count="0" defaultTableStyle="TableStyleMedium2" defaultPivotStyle="PivotStyleLight16"/>
  <colors>
    <mruColors>
      <color rgb="FFFFFFCC"/>
      <color rgb="FFF8F8F8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kedonija%20Q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Kroacija%20Q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Zoi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Kroacija%20zivot%20Q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Grawe%20zivot%20Q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Viner%20zivot%20Q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Unika%20zivot%20Q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Triglav%20zivot%20Q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PrvaZivot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SP%203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iglav%20Q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vroins%20Q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ava%20Q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urolink%20Q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Grawe%20Q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nika%20Q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Osigpolisa%20Q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alk%20Q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4_NR"/>
      <sheetName val="STA_SP5_NR"/>
      <sheetName val="STA_SP8_NR"/>
      <sheetName val="STA_SP99"/>
    </sheetNames>
    <sheetDataSet>
      <sheetData sheetId="0" refreshError="1"/>
      <sheetData sheetId="1">
        <row r="10">
          <cell r="C10">
            <v>103481</v>
          </cell>
          <cell r="D10">
            <v>144255.67999999999</v>
          </cell>
          <cell r="F10">
            <v>1179</v>
          </cell>
          <cell r="G10">
            <v>59990.25</v>
          </cell>
          <cell r="H10">
            <v>144</v>
          </cell>
          <cell r="I10">
            <v>9946.18</v>
          </cell>
        </row>
        <row r="20">
          <cell r="C20">
            <v>1181</v>
          </cell>
          <cell r="D20">
            <v>255723.74</v>
          </cell>
          <cell r="F20">
            <v>19030</v>
          </cell>
          <cell r="G20">
            <v>176326.04</v>
          </cell>
          <cell r="H20">
            <v>139</v>
          </cell>
          <cell r="I20">
            <v>2601.94</v>
          </cell>
        </row>
        <row r="24">
          <cell r="C24">
            <v>7366</v>
          </cell>
          <cell r="D24">
            <v>197678.96</v>
          </cell>
          <cell r="F24">
            <v>1062</v>
          </cell>
          <cell r="G24">
            <v>104532.92</v>
          </cell>
          <cell r="H24">
            <v>244</v>
          </cell>
          <cell r="I24">
            <v>33976.120000000003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6</v>
          </cell>
          <cell r="D33">
            <v>301.77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210</v>
          </cell>
          <cell r="D36">
            <v>30458.81</v>
          </cell>
          <cell r="F36">
            <v>5</v>
          </cell>
          <cell r="G36">
            <v>305.27</v>
          </cell>
          <cell r="H36">
            <v>3</v>
          </cell>
          <cell r="I36">
            <v>592.20000000000005</v>
          </cell>
        </row>
        <row r="40">
          <cell r="C40">
            <v>16505</v>
          </cell>
          <cell r="D40">
            <v>242981.63</v>
          </cell>
          <cell r="F40">
            <v>79</v>
          </cell>
          <cell r="G40">
            <v>69750.45</v>
          </cell>
          <cell r="H40">
            <v>34</v>
          </cell>
          <cell r="I40">
            <v>327573.14</v>
          </cell>
        </row>
        <row r="56">
          <cell r="C56">
            <v>18032</v>
          </cell>
          <cell r="D56">
            <v>416953.57</v>
          </cell>
          <cell r="F56">
            <v>1014</v>
          </cell>
          <cell r="G56">
            <v>101616.28</v>
          </cell>
          <cell r="H56">
            <v>232</v>
          </cell>
          <cell r="I56">
            <v>210036.9</v>
          </cell>
        </row>
        <row r="88">
          <cell r="C88">
            <v>152293</v>
          </cell>
          <cell r="D88">
            <v>875223.5</v>
          </cell>
          <cell r="F88">
            <v>5164</v>
          </cell>
          <cell r="G88">
            <v>438540.07</v>
          </cell>
          <cell r="H88">
            <v>1820</v>
          </cell>
          <cell r="I88">
            <v>319547.43</v>
          </cell>
        </row>
        <row r="124">
          <cell r="C124">
            <v>11</v>
          </cell>
          <cell r="D124">
            <v>57.94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196</v>
          </cell>
          <cell r="D128">
            <v>838.72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6390</v>
          </cell>
          <cell r="D132">
            <v>64013.14</v>
          </cell>
          <cell r="F132">
            <v>128</v>
          </cell>
          <cell r="G132">
            <v>6273.46</v>
          </cell>
          <cell r="H132">
            <v>73</v>
          </cell>
          <cell r="I132">
            <v>26015.48</v>
          </cell>
        </row>
        <row r="153">
          <cell r="C153">
            <v>1855</v>
          </cell>
          <cell r="D153">
            <v>15901.38</v>
          </cell>
          <cell r="F153">
            <v>3</v>
          </cell>
          <cell r="G153">
            <v>323.44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32</v>
          </cell>
          <cell r="D161">
            <v>10852.53</v>
          </cell>
          <cell r="F161">
            <v>36</v>
          </cell>
          <cell r="G161">
            <v>30.19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38095</v>
          </cell>
          <cell r="D170">
            <v>25244.63</v>
          </cell>
          <cell r="F170">
            <v>347</v>
          </cell>
          <cell r="G170">
            <v>9060.6299999999992</v>
          </cell>
          <cell r="H170">
            <v>135</v>
          </cell>
          <cell r="I170">
            <v>2391.63</v>
          </cell>
        </row>
        <row r="175">
          <cell r="C175">
            <v>225876</v>
          </cell>
        </row>
      </sheetData>
      <sheetData sheetId="2">
        <row r="11">
          <cell r="C11">
            <v>89337</v>
          </cell>
          <cell r="D11">
            <v>495520.31</v>
          </cell>
          <cell r="J11">
            <v>4200</v>
          </cell>
          <cell r="K11">
            <v>328004.23</v>
          </cell>
        </row>
        <row r="12">
          <cell r="C12">
            <v>9633</v>
          </cell>
          <cell r="D12">
            <v>112021.49</v>
          </cell>
          <cell r="J12">
            <v>519</v>
          </cell>
          <cell r="K12">
            <v>35443.56</v>
          </cell>
        </row>
        <row r="13">
          <cell r="C13">
            <v>769</v>
          </cell>
          <cell r="D13">
            <v>17228.490000000002</v>
          </cell>
          <cell r="J13">
            <v>57</v>
          </cell>
          <cell r="K13">
            <v>2734.78</v>
          </cell>
        </row>
        <row r="14">
          <cell r="C14">
            <v>1670</v>
          </cell>
          <cell r="D14">
            <v>1207.25</v>
          </cell>
          <cell r="J14">
            <v>20</v>
          </cell>
          <cell r="K14">
            <v>647.47</v>
          </cell>
        </row>
        <row r="15">
          <cell r="C15">
            <v>146</v>
          </cell>
          <cell r="D15">
            <v>434.25</v>
          </cell>
          <cell r="J15">
            <v>3</v>
          </cell>
          <cell r="K15">
            <v>141.63</v>
          </cell>
        </row>
        <row r="16">
          <cell r="C16">
            <v>7559</v>
          </cell>
          <cell r="D16">
            <v>11413.46</v>
          </cell>
          <cell r="J16">
            <v>62</v>
          </cell>
          <cell r="K16">
            <v>5419.38</v>
          </cell>
        </row>
        <row r="17">
          <cell r="C17">
            <v>2367</v>
          </cell>
          <cell r="D17">
            <v>716.96</v>
          </cell>
          <cell r="J17">
            <v>0</v>
          </cell>
          <cell r="K17">
            <v>0.81</v>
          </cell>
        </row>
        <row r="18">
          <cell r="C18">
            <v>451</v>
          </cell>
          <cell r="D18">
            <v>1700.13</v>
          </cell>
          <cell r="J18">
            <v>25</v>
          </cell>
          <cell r="K18">
            <v>847.58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172</v>
          </cell>
          <cell r="D23">
            <v>1050.8699999999999</v>
          </cell>
          <cell r="J23">
            <v>0</v>
          </cell>
          <cell r="K23">
            <v>0</v>
          </cell>
        </row>
        <row r="25">
          <cell r="C25">
            <v>35570</v>
          </cell>
          <cell r="D25">
            <v>173433.71</v>
          </cell>
          <cell r="J25">
            <v>92</v>
          </cell>
          <cell r="K25">
            <v>17312.099999999999</v>
          </cell>
        </row>
        <row r="26">
          <cell r="C26">
            <v>1332</v>
          </cell>
          <cell r="D26">
            <v>22808.14</v>
          </cell>
          <cell r="J26">
            <v>151</v>
          </cell>
          <cell r="K26">
            <v>40904.160000000003</v>
          </cell>
        </row>
        <row r="27">
          <cell r="C27">
            <v>179</v>
          </cell>
          <cell r="D27">
            <v>3086.64</v>
          </cell>
          <cell r="J27">
            <v>10</v>
          </cell>
          <cell r="K27">
            <v>1372.8</v>
          </cell>
        </row>
        <row r="28">
          <cell r="C28">
            <v>10</v>
          </cell>
          <cell r="D28">
            <v>55.36</v>
          </cell>
          <cell r="J28">
            <v>0</v>
          </cell>
          <cell r="K28">
            <v>0</v>
          </cell>
        </row>
        <row r="29">
          <cell r="C29">
            <v>32</v>
          </cell>
          <cell r="D29">
            <v>177.45</v>
          </cell>
          <cell r="J29">
            <v>0</v>
          </cell>
          <cell r="K29">
            <v>0</v>
          </cell>
        </row>
        <row r="30">
          <cell r="C30">
            <v>642</v>
          </cell>
          <cell r="D30">
            <v>1200.3</v>
          </cell>
          <cell r="J30">
            <v>1</v>
          </cell>
          <cell r="K30">
            <v>51.38</v>
          </cell>
        </row>
        <row r="31">
          <cell r="C31">
            <v>1217</v>
          </cell>
          <cell r="D31">
            <v>6775.71</v>
          </cell>
          <cell r="J31">
            <v>3</v>
          </cell>
          <cell r="K31">
            <v>479.06</v>
          </cell>
        </row>
        <row r="32">
          <cell r="C32">
            <v>9</v>
          </cell>
          <cell r="D32">
            <v>50.42</v>
          </cell>
          <cell r="J32">
            <v>0</v>
          </cell>
          <cell r="K32">
            <v>0</v>
          </cell>
        </row>
        <row r="34">
          <cell r="C34">
            <v>573</v>
          </cell>
          <cell r="D34">
            <v>3170.5</v>
          </cell>
          <cell r="J34">
            <v>4</v>
          </cell>
          <cell r="K34">
            <v>509.51</v>
          </cell>
        </row>
        <row r="35">
          <cell r="C35">
            <v>15</v>
          </cell>
          <cell r="D35">
            <v>190.78</v>
          </cell>
          <cell r="J35">
            <v>0</v>
          </cell>
          <cell r="K35">
            <v>0</v>
          </cell>
        </row>
        <row r="36">
          <cell r="C36">
            <v>1</v>
          </cell>
          <cell r="D36">
            <v>17.89</v>
          </cell>
          <cell r="J36">
            <v>0</v>
          </cell>
          <cell r="K36">
            <v>0</v>
          </cell>
        </row>
        <row r="37">
          <cell r="C37">
            <v>2</v>
          </cell>
          <cell r="D37">
            <v>4.92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17</v>
          </cell>
          <cell r="D39">
            <v>85.07</v>
          </cell>
          <cell r="J39">
            <v>0</v>
          </cell>
          <cell r="K39">
            <v>0</v>
          </cell>
        </row>
        <row r="40">
          <cell r="C40">
            <v>29</v>
          </cell>
          <cell r="D40">
            <v>21.55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100978.96</v>
          </cell>
        </row>
        <row r="11">
          <cell r="P11">
            <v>179006.62</v>
          </cell>
        </row>
        <row r="12">
          <cell r="P12">
            <v>138375.26999999999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196.15</v>
          </cell>
        </row>
        <row r="16">
          <cell r="P16">
            <v>18275.28</v>
          </cell>
        </row>
        <row r="17">
          <cell r="P17">
            <v>157938.06</v>
          </cell>
        </row>
        <row r="20">
          <cell r="P20">
            <v>271019.82</v>
          </cell>
        </row>
        <row r="26">
          <cell r="P26">
            <v>669184.9</v>
          </cell>
        </row>
        <row r="33">
          <cell r="P33">
            <v>37.659999999999997</v>
          </cell>
        </row>
        <row r="34">
          <cell r="P34">
            <v>545.16999999999996</v>
          </cell>
        </row>
        <row r="35">
          <cell r="P35">
            <v>41608.54</v>
          </cell>
        </row>
        <row r="36">
          <cell r="P36">
            <v>10335.9</v>
          </cell>
        </row>
        <row r="37">
          <cell r="P37">
            <v>0</v>
          </cell>
        </row>
        <row r="38">
          <cell r="P38">
            <v>7054.14</v>
          </cell>
        </row>
        <row r="39">
          <cell r="P39">
            <v>0</v>
          </cell>
        </row>
        <row r="40">
          <cell r="P40">
            <v>13884.55</v>
          </cell>
        </row>
      </sheetData>
      <sheetData sheetId="5">
        <row r="10">
          <cell r="C10">
            <v>51473.06</v>
          </cell>
          <cell r="G10">
            <v>31860.1</v>
          </cell>
          <cell r="K10">
            <v>0</v>
          </cell>
        </row>
        <row r="11">
          <cell r="C11">
            <v>106370.18</v>
          </cell>
          <cell r="G11">
            <v>13863.17</v>
          </cell>
          <cell r="K11">
            <v>8651.19</v>
          </cell>
        </row>
        <row r="12">
          <cell r="C12">
            <v>102540.49</v>
          </cell>
          <cell r="G12">
            <v>16024.56</v>
          </cell>
          <cell r="K12">
            <v>4072.15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0</v>
          </cell>
          <cell r="G14">
            <v>0</v>
          </cell>
          <cell r="K14">
            <v>0</v>
          </cell>
        </row>
        <row r="15">
          <cell r="C15">
            <v>134.36000000000001</v>
          </cell>
          <cell r="G15">
            <v>0</v>
          </cell>
          <cell r="K15">
            <v>0</v>
          </cell>
        </row>
        <row r="16">
          <cell r="C16">
            <v>1323.63</v>
          </cell>
          <cell r="G16">
            <v>427.1</v>
          </cell>
          <cell r="K16">
            <v>0</v>
          </cell>
        </row>
        <row r="17">
          <cell r="C17">
            <v>91738.71</v>
          </cell>
          <cell r="G17">
            <v>18446.490000000002</v>
          </cell>
          <cell r="K17">
            <v>0</v>
          </cell>
        </row>
        <row r="20">
          <cell r="C20">
            <v>156984.49</v>
          </cell>
          <cell r="G20">
            <v>11827.72</v>
          </cell>
          <cell r="K20">
            <v>0</v>
          </cell>
        </row>
        <row r="26">
          <cell r="C26">
            <v>437752.52</v>
          </cell>
          <cell r="G26">
            <v>281368.92</v>
          </cell>
          <cell r="K26">
            <v>0</v>
          </cell>
        </row>
        <row r="33">
          <cell r="C33">
            <v>19.260000000000002</v>
          </cell>
          <cell r="G33">
            <v>0</v>
          </cell>
          <cell r="K33">
            <v>0</v>
          </cell>
        </row>
        <row r="34">
          <cell r="C34">
            <v>430.87</v>
          </cell>
          <cell r="G34">
            <v>0</v>
          </cell>
          <cell r="K34">
            <v>0</v>
          </cell>
        </row>
        <row r="35">
          <cell r="C35">
            <v>33228.04</v>
          </cell>
          <cell r="G35">
            <v>7465.2</v>
          </cell>
          <cell r="K35">
            <v>0</v>
          </cell>
        </row>
        <row r="36">
          <cell r="C36">
            <v>25230.95</v>
          </cell>
          <cell r="G36">
            <v>0</v>
          </cell>
          <cell r="K36">
            <v>0</v>
          </cell>
        </row>
        <row r="37">
          <cell r="C37">
            <v>0</v>
          </cell>
          <cell r="G37">
            <v>0</v>
          </cell>
          <cell r="K37">
            <v>0</v>
          </cell>
        </row>
        <row r="38">
          <cell r="C38">
            <v>6213.8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4557.2700000000004</v>
          </cell>
          <cell r="G40">
            <v>1362.88</v>
          </cell>
          <cell r="K40">
            <v>0</v>
          </cell>
        </row>
        <row r="41">
          <cell r="C41">
            <v>1017997.63</v>
          </cell>
          <cell r="D41">
            <v>8112.56</v>
          </cell>
          <cell r="E41">
            <v>932681.02</v>
          </cell>
          <cell r="G41">
            <v>382646.14</v>
          </cell>
          <cell r="I41">
            <v>14468.61</v>
          </cell>
          <cell r="K41">
            <v>12723.34</v>
          </cell>
          <cell r="M41">
            <v>0</v>
          </cell>
        </row>
      </sheetData>
      <sheetData sheetId="6">
        <row r="9">
          <cell r="C9">
            <v>11734</v>
          </cell>
          <cell r="D9">
            <v>307419.18</v>
          </cell>
        </row>
        <row r="18">
          <cell r="C18">
            <v>26687</v>
          </cell>
          <cell r="D18">
            <v>499788.98</v>
          </cell>
          <cell r="E18">
            <v>102114.03</v>
          </cell>
        </row>
        <row r="19">
          <cell r="C19">
            <v>66313</v>
          </cell>
          <cell r="D19">
            <v>654524.11</v>
          </cell>
          <cell r="E19">
            <v>150612.01</v>
          </cell>
        </row>
        <row r="20">
          <cell r="C20">
            <v>2039</v>
          </cell>
          <cell r="D20">
            <v>708.51</v>
          </cell>
          <cell r="E20">
            <v>210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4576</v>
          </cell>
          <cell r="D22">
            <v>62252.13</v>
          </cell>
          <cell r="E22">
            <v>13226.83</v>
          </cell>
        </row>
        <row r="29">
          <cell r="C29">
            <v>114527</v>
          </cell>
          <cell r="D29">
            <v>755793.08</v>
          </cell>
          <cell r="E29">
            <v>205003.99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131452</v>
          </cell>
          <cell r="D10">
            <v>159205</v>
          </cell>
          <cell r="F10">
            <v>1497</v>
          </cell>
          <cell r="G10">
            <v>80139</v>
          </cell>
          <cell r="H10">
            <v>357</v>
          </cell>
          <cell r="I10">
            <v>8511</v>
          </cell>
        </row>
        <row r="20">
          <cell r="C20">
            <v>2054</v>
          </cell>
          <cell r="D20">
            <v>265752</v>
          </cell>
          <cell r="F20">
            <v>17559</v>
          </cell>
          <cell r="G20">
            <v>164311</v>
          </cell>
          <cell r="H20">
            <v>831</v>
          </cell>
          <cell r="I20">
            <v>12365</v>
          </cell>
        </row>
        <row r="24">
          <cell r="C24">
            <v>4844</v>
          </cell>
          <cell r="D24">
            <v>139316</v>
          </cell>
          <cell r="F24">
            <v>735</v>
          </cell>
          <cell r="G24">
            <v>64848</v>
          </cell>
          <cell r="H24">
            <v>361</v>
          </cell>
          <cell r="I24">
            <v>30827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2</v>
          </cell>
          <cell r="D30">
            <v>16678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28</v>
          </cell>
          <cell r="D36">
            <v>5009</v>
          </cell>
          <cell r="F36">
            <v>1</v>
          </cell>
          <cell r="G36">
            <v>744</v>
          </cell>
          <cell r="H36">
            <v>0</v>
          </cell>
          <cell r="I36">
            <v>0</v>
          </cell>
        </row>
        <row r="40">
          <cell r="C40">
            <v>23201</v>
          </cell>
          <cell r="D40">
            <v>78756</v>
          </cell>
          <cell r="F40">
            <v>41</v>
          </cell>
          <cell r="G40">
            <v>8191</v>
          </cell>
          <cell r="H40">
            <v>18</v>
          </cell>
          <cell r="I40">
            <v>40087</v>
          </cell>
        </row>
        <row r="56">
          <cell r="C56">
            <v>21380</v>
          </cell>
          <cell r="D56">
            <v>109554</v>
          </cell>
          <cell r="F56">
            <v>318</v>
          </cell>
          <cell r="G56">
            <v>56834</v>
          </cell>
          <cell r="H56">
            <v>77</v>
          </cell>
          <cell r="I56">
            <v>6012</v>
          </cell>
        </row>
        <row r="88">
          <cell r="C88">
            <v>130431</v>
          </cell>
          <cell r="D88">
            <v>691160</v>
          </cell>
          <cell r="F88">
            <v>3335</v>
          </cell>
          <cell r="G88">
            <v>235245</v>
          </cell>
          <cell r="H88">
            <v>1307</v>
          </cell>
          <cell r="I88">
            <v>238130</v>
          </cell>
        </row>
        <row r="124">
          <cell r="C124">
            <v>3</v>
          </cell>
          <cell r="D124">
            <v>2133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53</v>
          </cell>
          <cell r="D128">
            <v>247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21042</v>
          </cell>
          <cell r="D132">
            <v>22624</v>
          </cell>
          <cell r="F132">
            <v>28</v>
          </cell>
          <cell r="G132">
            <v>1176</v>
          </cell>
          <cell r="H132">
            <v>8</v>
          </cell>
          <cell r="I132">
            <v>575</v>
          </cell>
        </row>
        <row r="153">
          <cell r="C153">
            <v>1162</v>
          </cell>
          <cell r="D153">
            <v>7257</v>
          </cell>
          <cell r="F153">
            <v>1</v>
          </cell>
          <cell r="G153">
            <v>9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17</v>
          </cell>
          <cell r="D161">
            <v>883</v>
          </cell>
          <cell r="F161">
            <v>0</v>
          </cell>
          <cell r="G161">
            <v>0</v>
          </cell>
          <cell r="H161">
            <v>1</v>
          </cell>
          <cell r="I161">
            <v>800</v>
          </cell>
        </row>
        <row r="167">
          <cell r="C167">
            <v>1</v>
          </cell>
          <cell r="D167">
            <v>1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40484</v>
          </cell>
          <cell r="D170">
            <v>30739</v>
          </cell>
          <cell r="F170">
            <v>368</v>
          </cell>
          <cell r="G170">
            <v>6694</v>
          </cell>
          <cell r="H170">
            <v>167</v>
          </cell>
          <cell r="I170">
            <v>2543</v>
          </cell>
        </row>
        <row r="175">
          <cell r="C175">
            <v>251074</v>
          </cell>
        </row>
      </sheetData>
      <sheetData sheetId="2">
        <row r="11">
          <cell r="C11">
            <v>77800</v>
          </cell>
          <cell r="D11">
            <v>434433</v>
          </cell>
          <cell r="J11">
            <v>2831</v>
          </cell>
          <cell r="K11">
            <v>179956</v>
          </cell>
        </row>
        <row r="12">
          <cell r="C12">
            <v>6455</v>
          </cell>
          <cell r="D12">
            <v>63875</v>
          </cell>
          <cell r="J12">
            <v>277</v>
          </cell>
          <cell r="K12">
            <v>18619</v>
          </cell>
        </row>
        <row r="13">
          <cell r="C13">
            <v>214</v>
          </cell>
          <cell r="D13">
            <v>4519</v>
          </cell>
          <cell r="J13">
            <v>12</v>
          </cell>
          <cell r="K13">
            <v>806</v>
          </cell>
        </row>
        <row r="14">
          <cell r="C14">
            <v>1331</v>
          </cell>
          <cell r="D14">
            <v>1110</v>
          </cell>
          <cell r="J14">
            <v>13</v>
          </cell>
          <cell r="K14">
            <v>549</v>
          </cell>
        </row>
        <row r="15">
          <cell r="C15">
            <v>58</v>
          </cell>
          <cell r="D15">
            <v>200</v>
          </cell>
          <cell r="J15">
            <v>1</v>
          </cell>
          <cell r="K15">
            <v>18</v>
          </cell>
        </row>
        <row r="16">
          <cell r="C16">
            <v>8518</v>
          </cell>
          <cell r="D16">
            <v>14409</v>
          </cell>
          <cell r="J16">
            <v>62</v>
          </cell>
          <cell r="K16">
            <v>4570</v>
          </cell>
        </row>
        <row r="17">
          <cell r="C17">
            <v>1538</v>
          </cell>
          <cell r="D17">
            <v>482</v>
          </cell>
          <cell r="J17">
            <v>2</v>
          </cell>
          <cell r="K17">
            <v>62</v>
          </cell>
        </row>
        <row r="18">
          <cell r="C18">
            <v>170</v>
          </cell>
          <cell r="D18">
            <v>709</v>
          </cell>
          <cell r="J18">
            <v>8</v>
          </cell>
          <cell r="K18">
            <v>181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2</v>
          </cell>
          <cell r="D23">
            <v>8</v>
          </cell>
          <cell r="J23">
            <v>0</v>
          </cell>
          <cell r="K23">
            <v>0</v>
          </cell>
        </row>
        <row r="25">
          <cell r="C25">
            <v>31299</v>
          </cell>
          <cell r="D25">
            <v>140617</v>
          </cell>
          <cell r="J25">
            <v>65</v>
          </cell>
          <cell r="K25">
            <v>10819</v>
          </cell>
        </row>
        <row r="26">
          <cell r="C26">
            <v>931</v>
          </cell>
          <cell r="D26">
            <v>14577</v>
          </cell>
          <cell r="J26">
            <v>52</v>
          </cell>
          <cell r="K26">
            <v>11661</v>
          </cell>
        </row>
        <row r="27">
          <cell r="C27">
            <v>66</v>
          </cell>
          <cell r="D27">
            <v>1074</v>
          </cell>
          <cell r="J27">
            <v>3</v>
          </cell>
          <cell r="K27">
            <v>1907</v>
          </cell>
        </row>
        <row r="28">
          <cell r="C28">
            <v>4</v>
          </cell>
          <cell r="D28">
            <v>27</v>
          </cell>
          <cell r="J28">
            <v>0</v>
          </cell>
          <cell r="K28">
            <v>0</v>
          </cell>
        </row>
        <row r="29">
          <cell r="C29">
            <v>18</v>
          </cell>
          <cell r="D29">
            <v>94</v>
          </cell>
          <cell r="J29">
            <v>0</v>
          </cell>
          <cell r="K29">
            <v>0</v>
          </cell>
        </row>
        <row r="30">
          <cell r="C30">
            <v>697</v>
          </cell>
          <cell r="D30">
            <v>1229</v>
          </cell>
          <cell r="J30">
            <v>0</v>
          </cell>
          <cell r="K30">
            <v>0</v>
          </cell>
        </row>
        <row r="31">
          <cell r="C31">
            <v>820</v>
          </cell>
          <cell r="D31">
            <v>4210</v>
          </cell>
          <cell r="J31">
            <v>0</v>
          </cell>
          <cell r="K31">
            <v>48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196</v>
          </cell>
          <cell r="D34">
            <v>1201</v>
          </cell>
          <cell r="J34">
            <v>0</v>
          </cell>
          <cell r="K34">
            <v>0</v>
          </cell>
        </row>
        <row r="35">
          <cell r="C35">
            <v>4</v>
          </cell>
          <cell r="D35">
            <v>52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9</v>
          </cell>
          <cell r="D39">
            <v>54</v>
          </cell>
          <cell r="J39">
            <v>0</v>
          </cell>
          <cell r="K39">
            <v>0</v>
          </cell>
        </row>
        <row r="40">
          <cell r="C40">
            <v>6</v>
          </cell>
          <cell r="D40">
            <v>9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111444</v>
          </cell>
        </row>
        <row r="11">
          <cell r="P11">
            <v>186026</v>
          </cell>
        </row>
        <row r="12">
          <cell r="P12">
            <v>97521</v>
          </cell>
        </row>
        <row r="13">
          <cell r="P13">
            <v>0</v>
          </cell>
        </row>
        <row r="14">
          <cell r="P14">
            <v>11675</v>
          </cell>
        </row>
        <row r="15">
          <cell r="P15">
            <v>0</v>
          </cell>
        </row>
        <row r="16">
          <cell r="P16">
            <v>3506</v>
          </cell>
        </row>
        <row r="17">
          <cell r="P17">
            <v>55130</v>
          </cell>
        </row>
        <row r="20">
          <cell r="P20">
            <v>76688</v>
          </cell>
        </row>
        <row r="26">
          <cell r="P26">
            <v>531615</v>
          </cell>
        </row>
        <row r="33">
          <cell r="P33">
            <v>1706</v>
          </cell>
        </row>
        <row r="34">
          <cell r="P34">
            <v>173</v>
          </cell>
        </row>
        <row r="35">
          <cell r="P35">
            <v>15837</v>
          </cell>
        </row>
        <row r="36">
          <cell r="P36">
            <v>3701</v>
          </cell>
        </row>
        <row r="37">
          <cell r="P37">
            <v>0</v>
          </cell>
        </row>
        <row r="38">
          <cell r="P38">
            <v>574</v>
          </cell>
        </row>
        <row r="39">
          <cell r="P39">
            <v>1</v>
          </cell>
        </row>
        <row r="40">
          <cell r="P40">
            <v>16906</v>
          </cell>
        </row>
      </sheetData>
      <sheetData sheetId="5">
        <row r="10">
          <cell r="C10">
            <v>77844</v>
          </cell>
          <cell r="G10">
            <v>30234</v>
          </cell>
          <cell r="K10">
            <v>0</v>
          </cell>
        </row>
        <row r="11">
          <cell r="C11">
            <v>77982</v>
          </cell>
          <cell r="G11">
            <v>8148</v>
          </cell>
          <cell r="K11">
            <v>0</v>
          </cell>
        </row>
        <row r="12">
          <cell r="C12">
            <v>70267</v>
          </cell>
          <cell r="G12">
            <v>7280</v>
          </cell>
          <cell r="K12">
            <v>261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13038</v>
          </cell>
          <cell r="G14">
            <v>0</v>
          </cell>
          <cell r="K14">
            <v>0</v>
          </cell>
        </row>
        <row r="15">
          <cell r="C15">
            <v>0</v>
          </cell>
          <cell r="G15">
            <v>0</v>
          </cell>
          <cell r="K15">
            <v>0</v>
          </cell>
        </row>
        <row r="16">
          <cell r="C16">
            <v>2487</v>
          </cell>
          <cell r="G16">
            <v>1950</v>
          </cell>
          <cell r="K16">
            <v>0</v>
          </cell>
        </row>
        <row r="17">
          <cell r="C17">
            <v>39058</v>
          </cell>
          <cell r="G17">
            <v>3285</v>
          </cell>
          <cell r="K17">
            <v>0</v>
          </cell>
        </row>
        <row r="20">
          <cell r="C20">
            <v>33703</v>
          </cell>
          <cell r="G20">
            <v>2160</v>
          </cell>
          <cell r="K20">
            <v>0</v>
          </cell>
        </row>
        <row r="26">
          <cell r="C26">
            <v>344168</v>
          </cell>
          <cell r="G26">
            <v>373940</v>
          </cell>
          <cell r="K26">
            <v>0</v>
          </cell>
        </row>
        <row r="33">
          <cell r="C33">
            <v>1617</v>
          </cell>
          <cell r="G33">
            <v>0</v>
          </cell>
          <cell r="K33">
            <v>0</v>
          </cell>
        </row>
        <row r="34">
          <cell r="C34">
            <v>131</v>
          </cell>
          <cell r="G34">
            <v>0</v>
          </cell>
          <cell r="K34">
            <v>0</v>
          </cell>
        </row>
        <row r="35">
          <cell r="C35">
            <v>11329</v>
          </cell>
          <cell r="G35">
            <v>1135</v>
          </cell>
          <cell r="K35">
            <v>0</v>
          </cell>
        </row>
        <row r="36">
          <cell r="C36">
            <v>8604</v>
          </cell>
          <cell r="G36">
            <v>0</v>
          </cell>
          <cell r="K36">
            <v>0</v>
          </cell>
        </row>
        <row r="37">
          <cell r="C37">
            <v>0</v>
          </cell>
          <cell r="G37">
            <v>0</v>
          </cell>
          <cell r="K37">
            <v>0</v>
          </cell>
        </row>
        <row r="38">
          <cell r="C38">
            <v>434</v>
          </cell>
          <cell r="G38">
            <v>0</v>
          </cell>
          <cell r="K38">
            <v>0</v>
          </cell>
        </row>
        <row r="39">
          <cell r="C39">
            <v>1</v>
          </cell>
          <cell r="G39">
            <v>0</v>
          </cell>
          <cell r="K39">
            <v>0</v>
          </cell>
        </row>
        <row r="40">
          <cell r="C40">
            <v>9229</v>
          </cell>
          <cell r="G40">
            <v>2460</v>
          </cell>
          <cell r="K40">
            <v>0</v>
          </cell>
        </row>
        <row r="41">
          <cell r="C41">
            <v>689892</v>
          </cell>
          <cell r="D41">
            <v>14798</v>
          </cell>
          <cell r="E41">
            <v>339850</v>
          </cell>
          <cell r="G41">
            <v>430592</v>
          </cell>
          <cell r="I41">
            <v>20308</v>
          </cell>
          <cell r="K41">
            <v>261</v>
          </cell>
          <cell r="M41">
            <v>0</v>
          </cell>
        </row>
      </sheetData>
      <sheetData sheetId="6">
        <row r="9">
          <cell r="C9">
            <v>100670</v>
          </cell>
          <cell r="D9">
            <v>802725</v>
          </cell>
        </row>
        <row r="18">
          <cell r="C18">
            <v>73492</v>
          </cell>
          <cell r="D18">
            <v>526489</v>
          </cell>
          <cell r="E18">
            <v>151231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402</v>
          </cell>
          <cell r="D20">
            <v>809</v>
          </cell>
          <cell r="E20">
            <v>275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70060</v>
          </cell>
          <cell r="D22">
            <v>98415</v>
          </cell>
          <cell r="E22">
            <v>38134</v>
          </cell>
        </row>
        <row r="29">
          <cell r="C29">
            <v>5415</v>
          </cell>
          <cell r="D29">
            <v>83488</v>
          </cell>
          <cell r="E29">
            <v>50185.79</v>
          </cell>
        </row>
        <row r="38">
          <cell r="C38">
            <v>1035</v>
          </cell>
          <cell r="D38">
            <v>17388</v>
          </cell>
          <cell r="E38">
            <v>4497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FIN_BS"/>
      <sheetName val="FIN_BU"/>
      <sheetName val="SUPFIN_PiRodV"/>
      <sheetName val="SUPFIN_RDZodV"/>
      <sheetName val="SUPFIN_neRDZodV"/>
      <sheetName val="SUPFIN_VK"/>
      <sheetName val="SUPFIN_SVl"/>
      <sheetName val="VS_VS1_NO"/>
      <sheetName val="VS_VS2"/>
      <sheetName val="SUP_MS_NO"/>
      <sheetName val="SUP_KS"/>
      <sheetName val="SUP_VTR"/>
      <sheetName val="RR_REO_01 - #1"/>
      <sheetName val="RR_REO_02"/>
      <sheetName val="RR_REO_03"/>
      <sheetName val="RR_REO_04"/>
      <sheetName val="DEC_SP - #1"/>
      <sheetName val="DEC_SP - #2"/>
      <sheetName val="DEC_SP - #3"/>
      <sheetName val="DEC_SP - #4"/>
      <sheetName val="DEC_SP - #5"/>
      <sheetName val="DEC_SP - #6"/>
    </sheetNames>
    <sheetDataSet>
      <sheetData sheetId="0"/>
      <sheetData sheetId="1">
        <row r="10">
          <cell r="C10">
            <v>4305</v>
          </cell>
          <cell r="D10">
            <v>1111.05</v>
          </cell>
          <cell r="F10">
            <v>7</v>
          </cell>
          <cell r="G10">
            <v>916</v>
          </cell>
          <cell r="H10">
            <v>3</v>
          </cell>
          <cell r="I10">
            <v>123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128</v>
          </cell>
          <cell r="D24">
            <v>4120.6899999999996</v>
          </cell>
          <cell r="F24">
            <v>24</v>
          </cell>
          <cell r="G24">
            <v>5050.09</v>
          </cell>
          <cell r="H24">
            <v>9</v>
          </cell>
          <cell r="I24">
            <v>610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30</v>
          </cell>
          <cell r="D40">
            <v>136.37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56">
          <cell r="C56">
            <v>22</v>
          </cell>
          <cell r="D56">
            <v>89.63</v>
          </cell>
          <cell r="F56">
            <v>4</v>
          </cell>
          <cell r="G56">
            <v>72.67</v>
          </cell>
          <cell r="H56">
            <v>0</v>
          </cell>
          <cell r="I56">
            <v>0</v>
          </cell>
        </row>
        <row r="88">
          <cell r="C88">
            <v>7460</v>
          </cell>
          <cell r="D88">
            <v>39126.54</v>
          </cell>
          <cell r="F88">
            <v>238</v>
          </cell>
          <cell r="G88">
            <v>16033.63</v>
          </cell>
          <cell r="H88">
            <v>124</v>
          </cell>
          <cell r="I88">
            <v>9165.19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22</v>
          </cell>
          <cell r="D132">
            <v>50.18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186</v>
          </cell>
          <cell r="D170">
            <v>215.23</v>
          </cell>
          <cell r="F170">
            <v>19</v>
          </cell>
          <cell r="G170">
            <v>105.17</v>
          </cell>
          <cell r="H170">
            <v>0</v>
          </cell>
          <cell r="I170">
            <v>0</v>
          </cell>
        </row>
        <row r="175">
          <cell r="C175">
            <v>7808</v>
          </cell>
        </row>
      </sheetData>
      <sheetData sheetId="2">
        <row r="11">
          <cell r="C11">
            <v>4111</v>
          </cell>
          <cell r="D11">
            <v>23745.83</v>
          </cell>
          <cell r="J11">
            <v>196</v>
          </cell>
          <cell r="K11">
            <v>13456.01</v>
          </cell>
        </row>
        <row r="12">
          <cell r="C12">
            <v>368</v>
          </cell>
          <cell r="D12">
            <v>3859.55</v>
          </cell>
          <cell r="J12">
            <v>34</v>
          </cell>
          <cell r="K12">
            <v>2141.21</v>
          </cell>
        </row>
        <row r="13">
          <cell r="C13">
            <v>11</v>
          </cell>
          <cell r="D13">
            <v>229.25</v>
          </cell>
          <cell r="J13">
            <v>1</v>
          </cell>
          <cell r="K13">
            <v>55.08</v>
          </cell>
        </row>
        <row r="14">
          <cell r="C14">
            <v>66</v>
          </cell>
          <cell r="D14">
            <v>56.12</v>
          </cell>
          <cell r="J14">
            <v>0</v>
          </cell>
          <cell r="K14">
            <v>0</v>
          </cell>
        </row>
        <row r="15">
          <cell r="C15">
            <v>1</v>
          </cell>
          <cell r="D15">
            <v>4.24</v>
          </cell>
          <cell r="J15">
            <v>0</v>
          </cell>
          <cell r="K15">
            <v>0</v>
          </cell>
        </row>
        <row r="16">
          <cell r="C16">
            <v>80</v>
          </cell>
          <cell r="D16">
            <v>156.72999999999999</v>
          </cell>
          <cell r="J16">
            <v>1</v>
          </cell>
          <cell r="K16">
            <v>12.92</v>
          </cell>
        </row>
        <row r="17">
          <cell r="C17">
            <v>83</v>
          </cell>
          <cell r="D17">
            <v>26.27</v>
          </cell>
          <cell r="J17">
            <v>0</v>
          </cell>
          <cell r="K17">
            <v>0</v>
          </cell>
        </row>
        <row r="18">
          <cell r="C18">
            <v>10</v>
          </cell>
          <cell r="D18">
            <v>30.52</v>
          </cell>
          <cell r="J18">
            <v>1</v>
          </cell>
          <cell r="K18">
            <v>10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180</v>
          </cell>
          <cell r="D21">
            <v>41.1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1533</v>
          </cell>
          <cell r="D25">
            <v>6874.59</v>
          </cell>
          <cell r="J25">
            <v>4</v>
          </cell>
          <cell r="K25">
            <v>198.97</v>
          </cell>
        </row>
        <row r="26">
          <cell r="C26">
            <v>60</v>
          </cell>
          <cell r="D26">
            <v>964.43</v>
          </cell>
          <cell r="J26">
            <v>1</v>
          </cell>
          <cell r="K26">
            <v>159.44</v>
          </cell>
        </row>
        <row r="27">
          <cell r="C27">
            <v>0</v>
          </cell>
          <cell r="D27">
            <v>0</v>
          </cell>
          <cell r="J27">
            <v>0</v>
          </cell>
          <cell r="K27">
            <v>0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J29">
            <v>0</v>
          </cell>
          <cell r="K29">
            <v>0</v>
          </cell>
        </row>
        <row r="30">
          <cell r="C30">
            <v>18</v>
          </cell>
          <cell r="D30">
            <v>33.299999999999997</v>
          </cell>
          <cell r="J30">
            <v>0</v>
          </cell>
          <cell r="K30">
            <v>0</v>
          </cell>
        </row>
        <row r="31">
          <cell r="C31">
            <v>53</v>
          </cell>
          <cell r="D31">
            <v>293.41000000000003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749</v>
          </cell>
          <cell r="D34">
            <v>2364.6799999999998</v>
          </cell>
          <cell r="J34">
            <v>0</v>
          </cell>
          <cell r="K34">
            <v>0</v>
          </cell>
        </row>
        <row r="35">
          <cell r="C35">
            <v>1</v>
          </cell>
          <cell r="D35">
            <v>7.38</v>
          </cell>
          <cell r="J35">
            <v>0</v>
          </cell>
          <cell r="K35">
            <v>0</v>
          </cell>
        </row>
        <row r="36">
          <cell r="C36">
            <v>1</v>
          </cell>
          <cell r="D36">
            <v>17.829999999999998</v>
          </cell>
          <cell r="J36">
            <v>0</v>
          </cell>
          <cell r="K36">
            <v>0</v>
          </cell>
        </row>
        <row r="37">
          <cell r="C37">
            <v>1</v>
          </cell>
          <cell r="D37">
            <v>0.62</v>
          </cell>
          <cell r="J37">
            <v>0</v>
          </cell>
          <cell r="K37">
            <v>0</v>
          </cell>
        </row>
        <row r="38">
          <cell r="C38">
            <v>1</v>
          </cell>
          <cell r="D38">
            <v>2.46</v>
          </cell>
          <cell r="J38">
            <v>0</v>
          </cell>
          <cell r="K38">
            <v>0</v>
          </cell>
        </row>
        <row r="39">
          <cell r="C39">
            <v>107</v>
          </cell>
          <cell r="D39">
            <v>329.03</v>
          </cell>
          <cell r="J39">
            <v>0</v>
          </cell>
          <cell r="K39">
            <v>0</v>
          </cell>
        </row>
        <row r="40">
          <cell r="C40">
            <v>22</v>
          </cell>
          <cell r="D40">
            <v>13.53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909.31</v>
          </cell>
        </row>
        <row r="11">
          <cell r="P11">
            <v>0</v>
          </cell>
        </row>
        <row r="12">
          <cell r="P12">
            <v>2998.43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100.1</v>
          </cell>
        </row>
        <row r="20">
          <cell r="P20">
            <v>64.12</v>
          </cell>
        </row>
        <row r="26">
          <cell r="P26">
            <v>30091.64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40.76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148.44</v>
          </cell>
        </row>
      </sheetData>
      <sheetData sheetId="5">
        <row r="10">
          <cell r="C10">
            <v>342.52</v>
          </cell>
          <cell r="G10">
            <v>828.45</v>
          </cell>
          <cell r="K10">
            <v>0</v>
          </cell>
        </row>
        <row r="11">
          <cell r="C11">
            <v>0</v>
          </cell>
          <cell r="G11">
            <v>0</v>
          </cell>
          <cell r="K11">
            <v>0</v>
          </cell>
        </row>
        <row r="12">
          <cell r="C12">
            <v>1188.17</v>
          </cell>
          <cell r="G12">
            <v>4920.8599999999997</v>
          </cell>
          <cell r="K12">
            <v>0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0</v>
          </cell>
          <cell r="G14">
            <v>0</v>
          </cell>
          <cell r="K14">
            <v>0</v>
          </cell>
        </row>
        <row r="15">
          <cell r="C15">
            <v>0</v>
          </cell>
          <cell r="G15">
            <v>0</v>
          </cell>
          <cell r="K15">
            <v>0</v>
          </cell>
        </row>
        <row r="16">
          <cell r="C16">
            <v>0</v>
          </cell>
          <cell r="G16">
            <v>0</v>
          </cell>
          <cell r="K16">
            <v>0</v>
          </cell>
        </row>
        <row r="17">
          <cell r="C17">
            <v>49.44</v>
          </cell>
          <cell r="G17">
            <v>218.27</v>
          </cell>
          <cell r="K17">
            <v>0</v>
          </cell>
        </row>
        <row r="20">
          <cell r="C20">
            <v>18.3</v>
          </cell>
          <cell r="G20">
            <v>91.14</v>
          </cell>
          <cell r="K20">
            <v>0</v>
          </cell>
        </row>
        <row r="26">
          <cell r="C26">
            <v>11417.22</v>
          </cell>
          <cell r="G26">
            <v>25201.06</v>
          </cell>
          <cell r="K26">
            <v>0</v>
          </cell>
        </row>
        <row r="33">
          <cell r="C33">
            <v>0</v>
          </cell>
          <cell r="G33">
            <v>0</v>
          </cell>
          <cell r="K33">
            <v>0</v>
          </cell>
        </row>
        <row r="34">
          <cell r="C34">
            <v>0</v>
          </cell>
          <cell r="G34">
            <v>0</v>
          </cell>
          <cell r="K34">
            <v>0</v>
          </cell>
        </row>
        <row r="35">
          <cell r="C35">
            <v>19.100000000000001</v>
          </cell>
          <cell r="G35">
            <v>23.35</v>
          </cell>
          <cell r="K35">
            <v>0</v>
          </cell>
        </row>
        <row r="36">
          <cell r="C36">
            <v>0</v>
          </cell>
          <cell r="G36">
            <v>0</v>
          </cell>
          <cell r="K36">
            <v>0</v>
          </cell>
        </row>
        <row r="37">
          <cell r="C37">
            <v>0</v>
          </cell>
          <cell r="G37">
            <v>0</v>
          </cell>
          <cell r="K37">
            <v>0</v>
          </cell>
        </row>
        <row r="38">
          <cell r="C38">
            <v>0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6.66</v>
          </cell>
          <cell r="G40">
            <v>61.24</v>
          </cell>
          <cell r="K40">
            <v>0</v>
          </cell>
        </row>
        <row r="41">
          <cell r="C41">
            <v>13041.41</v>
          </cell>
          <cell r="D41">
            <v>0</v>
          </cell>
          <cell r="E41">
            <v>9898.19</v>
          </cell>
          <cell r="G41">
            <v>31344.37</v>
          </cell>
          <cell r="I41">
            <v>206.21</v>
          </cell>
          <cell r="K41">
            <v>0</v>
          </cell>
          <cell r="M41">
            <v>0</v>
          </cell>
        </row>
      </sheetData>
      <sheetData sheetId="6">
        <row r="9">
          <cell r="C9">
            <v>1336</v>
          </cell>
          <cell r="D9">
            <v>4832.84</v>
          </cell>
        </row>
        <row r="18">
          <cell r="C18">
            <v>6045</v>
          </cell>
          <cell r="D18">
            <v>37165.089999999997</v>
          </cell>
          <cell r="E18">
            <v>14446.21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427</v>
          </cell>
          <cell r="D29">
            <v>2851.74</v>
          </cell>
          <cell r="E29">
            <v>614.30999999999995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978"/>
      <sheetName val="STA_SP4_VU_MR - 807"/>
      <sheetName val="STA_SP4_RS_ZO"/>
      <sheetName val="STA_SP6_ZO"/>
      <sheetName val="STA_SP7_ZO"/>
      <sheetName val="STA_SP8_ZO"/>
      <sheetName val="STA_SP99"/>
    </sheetNames>
    <sheetDataSet>
      <sheetData sheetId="0"/>
      <sheetData sheetId="1">
        <row r="51">
          <cell r="I51">
            <v>5883</v>
          </cell>
          <cell r="J51">
            <v>937892</v>
          </cell>
          <cell r="Q51">
            <v>618377</v>
          </cell>
        </row>
      </sheetData>
      <sheetData sheetId="2">
        <row r="51">
          <cell r="G51">
            <v>115</v>
          </cell>
          <cell r="H51">
            <v>156</v>
          </cell>
          <cell r="L51">
            <v>2534</v>
          </cell>
          <cell r="N51">
            <v>266</v>
          </cell>
          <cell r="O51">
            <v>515948</v>
          </cell>
        </row>
      </sheetData>
      <sheetData sheetId="3"/>
      <sheetData sheetId="4"/>
      <sheetData sheetId="5">
        <row r="51">
          <cell r="C51">
            <v>20421</v>
          </cell>
          <cell r="D51">
            <v>3719034</v>
          </cell>
          <cell r="E51">
            <v>472273</v>
          </cell>
          <cell r="F51">
            <v>0</v>
          </cell>
          <cell r="G51">
            <v>18160</v>
          </cell>
          <cell r="H51">
            <v>6411</v>
          </cell>
          <cell r="J51">
            <v>1102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OfContents"/>
      <sheetName val="Header"/>
      <sheetName val="STA_SP1_ZO"/>
      <sheetName val="STA_SP2_ZO"/>
      <sheetName val="STA_SP2_RS_ZO"/>
      <sheetName val="STA_SP3_ZO"/>
      <sheetName val="STA_SP4_ZO"/>
      <sheetName val="STA_SP4_VU_MR - 807"/>
      <sheetName val="STA_SP4_RS_ZO"/>
      <sheetName val="STA_SP6_ZO"/>
      <sheetName val="STA_SP7_ZO"/>
      <sheetName val="STA_SP8_ZO"/>
      <sheetName val="STA_SP99"/>
      <sheetName val="FIN_BS"/>
      <sheetName val="FIN_BU"/>
      <sheetName val="SUPFIN_PiRodV"/>
      <sheetName val="SUPFIN_RDZodV"/>
      <sheetName val="SUPFIN_neRDZodV"/>
      <sheetName val="SUPFIN_VK"/>
      <sheetName val="SUPFIN_SVl"/>
      <sheetName val="SUPFIN_SVlPR"/>
      <sheetName val="VS_VS1_ZO"/>
      <sheetName val="VS_VS2"/>
      <sheetName val="SUP_MS_ZO"/>
      <sheetName val="SUP_KS"/>
      <sheetName val="SUP_VTR"/>
      <sheetName val="SUP_VMR - 1"/>
      <sheetName val="RR_REO_01 - 01,02,19,21"/>
      <sheetName val="DEC_SP - FI"/>
      <sheetName val="DEC_SP - RI"/>
      <sheetName val="DEC_SP - SI"/>
      <sheetName val="DEC_SP - SP"/>
      <sheetName val="DEC_SP - VBS"/>
      <sheetName val="DEC_SP - DFI"/>
    </sheetNames>
    <sheetDataSet>
      <sheetData sheetId="0"/>
      <sheetData sheetId="1"/>
      <sheetData sheetId="2">
        <row r="51">
          <cell r="I51">
            <v>1558</v>
          </cell>
          <cell r="J51">
            <v>537760</v>
          </cell>
          <cell r="Q51">
            <v>429013</v>
          </cell>
        </row>
      </sheetData>
      <sheetData sheetId="3">
        <row r="51">
          <cell r="G51">
            <v>155</v>
          </cell>
          <cell r="H51">
            <v>93</v>
          </cell>
          <cell r="L51">
            <v>1190</v>
          </cell>
          <cell r="N51">
            <v>385</v>
          </cell>
          <cell r="O51">
            <v>273172</v>
          </cell>
        </row>
      </sheetData>
      <sheetData sheetId="4"/>
      <sheetData sheetId="5"/>
      <sheetData sheetId="6">
        <row r="51">
          <cell r="C51">
            <v>14473</v>
          </cell>
          <cell r="D51">
            <v>3392420</v>
          </cell>
          <cell r="E51">
            <v>178744</v>
          </cell>
          <cell r="F51">
            <v>113257</v>
          </cell>
          <cell r="G51">
            <v>48147</v>
          </cell>
          <cell r="H51">
            <v>10262</v>
          </cell>
          <cell r="J51">
            <v>754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_SP1_ZO"/>
      <sheetName val="STA_SP2_ZO"/>
      <sheetName val="STA_SP2_RS_ZO"/>
      <sheetName val="STA_SP3_ZO"/>
      <sheetName val="STA_SP4_ZO"/>
      <sheetName val="STA_SP4_VU_MR - 807"/>
      <sheetName val="STA_SP4_VU_MR - 978"/>
      <sheetName val="STA_SP4_RS_ZO"/>
      <sheetName val="STA_SP6_ZO"/>
      <sheetName val="STA_SP7_ZO"/>
      <sheetName val="STA_SP8_ZO"/>
      <sheetName val="STA_SP99"/>
      <sheetName val="TableOfContents"/>
      <sheetName val="Header"/>
      <sheetName val="FIN_BS"/>
      <sheetName val="DEC_SP - FI"/>
      <sheetName val="DEC_SP - RI"/>
      <sheetName val="DEC_SP - SI"/>
      <sheetName val="DEC_SP - SP"/>
      <sheetName val="DEC_SP - VBS"/>
      <sheetName val="DEC_SP - DFI"/>
    </sheetNames>
    <sheetDataSet>
      <sheetData sheetId="0">
        <row r="51">
          <cell r="I51">
            <v>2175</v>
          </cell>
          <cell r="J51">
            <v>642548</v>
          </cell>
          <cell r="Q51">
            <v>513753</v>
          </cell>
        </row>
      </sheetData>
      <sheetData sheetId="1">
        <row r="51">
          <cell r="G51">
            <v>24</v>
          </cell>
          <cell r="H51">
            <v>3</v>
          </cell>
          <cell r="L51">
            <v>808</v>
          </cell>
          <cell r="O51">
            <v>156492</v>
          </cell>
        </row>
      </sheetData>
      <sheetData sheetId="2"/>
      <sheetData sheetId="3"/>
      <sheetData sheetId="4">
        <row r="51">
          <cell r="C51">
            <v>6254.78</v>
          </cell>
          <cell r="D51">
            <v>794183</v>
          </cell>
          <cell r="E51">
            <v>1341387.81</v>
          </cell>
          <cell r="F51">
            <v>0</v>
          </cell>
          <cell r="G51">
            <v>6067.72</v>
          </cell>
          <cell r="H51">
            <v>12362.8</v>
          </cell>
          <cell r="J51">
            <v>4878.1099999999997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978"/>
      <sheetName val="STA_SP4_VU_MR - 807"/>
      <sheetName val="STA_SP4_RS_ZO"/>
      <sheetName val="STA_SP6_ZO"/>
      <sheetName val="STA_SP7_ZO"/>
      <sheetName val="STA_SP8_ZO"/>
      <sheetName val="STA_SP99"/>
    </sheetNames>
    <sheetDataSet>
      <sheetData sheetId="0"/>
      <sheetData sheetId="1">
        <row r="51">
          <cell r="I51">
            <v>17533</v>
          </cell>
          <cell r="J51">
            <v>358793</v>
          </cell>
          <cell r="Q51">
            <v>282081</v>
          </cell>
        </row>
      </sheetData>
      <sheetData sheetId="2">
        <row r="51">
          <cell r="G51">
            <v>16</v>
          </cell>
          <cell r="H51">
            <v>35</v>
          </cell>
          <cell r="L51">
            <v>482</v>
          </cell>
          <cell r="N51">
            <v>86</v>
          </cell>
          <cell r="O51">
            <v>78374</v>
          </cell>
        </row>
      </sheetData>
      <sheetData sheetId="3"/>
      <sheetData sheetId="4"/>
      <sheetData sheetId="5">
        <row r="51">
          <cell r="C51">
            <v>6453</v>
          </cell>
          <cell r="D51">
            <v>573935</v>
          </cell>
          <cell r="E51">
            <v>437475</v>
          </cell>
          <cell r="F51">
            <v>0</v>
          </cell>
          <cell r="G51">
            <v>7339</v>
          </cell>
          <cell r="H51">
            <v>1748</v>
          </cell>
          <cell r="J51">
            <v>954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978"/>
      <sheetName val="STA_SP4_RS_ZO"/>
      <sheetName val="STA_SP6_ZO"/>
      <sheetName val="STA_SP7_ZO"/>
      <sheetName val="STA_SP8_ZO"/>
      <sheetName val="STA_SP99"/>
    </sheetNames>
    <sheetDataSet>
      <sheetData sheetId="0"/>
      <sheetData sheetId="1">
        <row r="51">
          <cell r="I51">
            <v>5872</v>
          </cell>
          <cell r="J51">
            <v>666640.78</v>
          </cell>
          <cell r="Q51">
            <v>549241</v>
          </cell>
        </row>
      </sheetData>
      <sheetData sheetId="2">
        <row r="51">
          <cell r="G51">
            <v>9</v>
          </cell>
          <cell r="H51">
            <v>0</v>
          </cell>
          <cell r="L51">
            <v>770</v>
          </cell>
          <cell r="N51">
            <v>0</v>
          </cell>
          <cell r="O51">
            <v>194812.99</v>
          </cell>
        </row>
      </sheetData>
      <sheetData sheetId="3"/>
      <sheetData sheetId="4"/>
      <sheetData sheetId="5">
        <row r="51">
          <cell r="C51">
            <v>1026.8</v>
          </cell>
          <cell r="D51">
            <v>754966.82</v>
          </cell>
          <cell r="E51">
            <v>373416.98</v>
          </cell>
          <cell r="F51">
            <v>0</v>
          </cell>
          <cell r="G51">
            <v>2314.36</v>
          </cell>
          <cell r="H51">
            <v>1867.5</v>
          </cell>
          <cell r="J51">
            <v>207.24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#1"/>
      <sheetName val="STA_SP4_RS_ZO"/>
      <sheetName val="STA_SP6_ZO"/>
      <sheetName val="STA_SP7_ZO"/>
      <sheetName val="STA_SP8_ZO"/>
    </sheetNames>
    <sheetDataSet>
      <sheetData sheetId="0"/>
      <sheetData sheetId="1">
        <row r="51">
          <cell r="I51">
            <v>1034</v>
          </cell>
          <cell r="J51">
            <v>46268.33</v>
          </cell>
          <cell r="Q51">
            <v>20944.580000000002</v>
          </cell>
        </row>
      </sheetData>
      <sheetData sheetId="2">
        <row r="51">
          <cell r="G51">
            <v>0</v>
          </cell>
          <cell r="H51">
            <v>0</v>
          </cell>
          <cell r="L51">
            <v>7</v>
          </cell>
          <cell r="N51">
            <v>0</v>
          </cell>
          <cell r="O51">
            <v>847.53</v>
          </cell>
        </row>
      </sheetData>
      <sheetData sheetId="3"/>
      <sheetData sheetId="4"/>
      <sheetData sheetId="5">
        <row r="51">
          <cell r="C51">
            <v>1200.98</v>
          </cell>
          <cell r="D51">
            <v>10876.56</v>
          </cell>
          <cell r="E51">
            <v>12041.2</v>
          </cell>
          <cell r="F51">
            <v>0</v>
          </cell>
          <cell r="G51">
            <v>0</v>
          </cell>
          <cell r="H51">
            <v>473.3</v>
          </cell>
          <cell r="J51">
            <v>2.37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edonija"/>
      <sheetName val="Triglav"/>
      <sheetName val="Euroins"/>
      <sheetName val="Sava"/>
      <sheetName val="Winner"/>
      <sheetName val="Eurolink"/>
      <sheetName val="Grawe"/>
      <sheetName val="Uniqa"/>
      <sheetName val="Polisa"/>
      <sheetName val="Halk"/>
      <sheetName val="Croatia"/>
      <sheetName val="Zoil"/>
      <sheetName val="Vkup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2">
          <cell r="C12">
            <v>406</v>
          </cell>
          <cell r="D12">
            <v>43866.07</v>
          </cell>
          <cell r="F12">
            <v>573</v>
          </cell>
          <cell r="G12">
            <v>137464.56</v>
          </cell>
        </row>
        <row r="21">
          <cell r="C21">
            <v>70</v>
          </cell>
          <cell r="D21">
            <v>13436.73</v>
          </cell>
          <cell r="F21">
            <v>181</v>
          </cell>
          <cell r="G21">
            <v>52957.909999999996</v>
          </cell>
        </row>
        <row r="22">
          <cell r="C22">
            <v>643</v>
          </cell>
          <cell r="D22">
            <v>89463.589999999982</v>
          </cell>
          <cell r="F22">
            <v>539</v>
          </cell>
          <cell r="G22">
            <v>138290.64000000001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DEC_SP - #4"/>
    </sheetNames>
    <sheetDataSet>
      <sheetData sheetId="0" refreshError="1"/>
      <sheetData sheetId="1">
        <row r="10">
          <cell r="C10">
            <v>59306</v>
          </cell>
          <cell r="D10">
            <v>126537</v>
          </cell>
          <cell r="F10">
            <v>969</v>
          </cell>
          <cell r="G10">
            <v>102309.71</v>
          </cell>
          <cell r="H10">
            <v>309</v>
          </cell>
          <cell r="I10">
            <v>17135.150000000001</v>
          </cell>
        </row>
        <row r="20">
          <cell r="C20">
            <v>18987</v>
          </cell>
          <cell r="D20">
            <v>248843.97</v>
          </cell>
          <cell r="F20">
            <v>14794</v>
          </cell>
          <cell r="G20">
            <v>150632.25</v>
          </cell>
          <cell r="H20">
            <v>738</v>
          </cell>
          <cell r="I20">
            <v>16520.62</v>
          </cell>
        </row>
        <row r="24">
          <cell r="C24">
            <v>7420</v>
          </cell>
          <cell r="D24">
            <v>197872.28</v>
          </cell>
          <cell r="F24">
            <v>1089</v>
          </cell>
          <cell r="G24">
            <v>94145.94</v>
          </cell>
          <cell r="H24">
            <v>390</v>
          </cell>
          <cell r="I24">
            <v>38478.43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1</v>
          </cell>
          <cell r="G30">
            <v>6445.56</v>
          </cell>
          <cell r="H30">
            <v>1</v>
          </cell>
          <cell r="I30">
            <v>480256.06</v>
          </cell>
        </row>
        <row r="33">
          <cell r="C33">
            <v>4</v>
          </cell>
          <cell r="D33">
            <v>185.1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745</v>
          </cell>
          <cell r="D36">
            <v>26714.17</v>
          </cell>
          <cell r="F36">
            <v>4</v>
          </cell>
          <cell r="G36">
            <v>51661.24</v>
          </cell>
          <cell r="H36">
            <v>2</v>
          </cell>
          <cell r="I36">
            <v>53680</v>
          </cell>
        </row>
        <row r="40">
          <cell r="C40">
            <v>22257</v>
          </cell>
          <cell r="D40">
            <v>123780.76</v>
          </cell>
          <cell r="F40">
            <v>56</v>
          </cell>
          <cell r="G40">
            <v>7342.86</v>
          </cell>
          <cell r="H40">
            <v>46</v>
          </cell>
          <cell r="I40">
            <v>24445.87</v>
          </cell>
        </row>
        <row r="56">
          <cell r="C56">
            <v>25960</v>
          </cell>
          <cell r="D56">
            <v>241534.05</v>
          </cell>
          <cell r="F56">
            <v>945</v>
          </cell>
          <cell r="G56">
            <v>37098.870000000003</v>
          </cell>
          <cell r="H56">
            <v>111</v>
          </cell>
          <cell r="I56">
            <v>7952.17</v>
          </cell>
        </row>
        <row r="88">
          <cell r="C88">
            <v>86034</v>
          </cell>
          <cell r="D88">
            <v>493423.96</v>
          </cell>
          <cell r="F88">
            <v>2575</v>
          </cell>
          <cell r="G88">
            <v>211514.68</v>
          </cell>
          <cell r="H88">
            <v>1052</v>
          </cell>
          <cell r="I88">
            <v>273215.61</v>
          </cell>
        </row>
        <row r="124">
          <cell r="C124">
            <v>184</v>
          </cell>
          <cell r="D124">
            <v>474.98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55</v>
          </cell>
          <cell r="D128">
            <v>343.58</v>
          </cell>
          <cell r="F128">
            <v>0</v>
          </cell>
          <cell r="G128">
            <v>0</v>
          </cell>
          <cell r="H128">
            <v>6</v>
          </cell>
          <cell r="I128">
            <v>6255</v>
          </cell>
        </row>
        <row r="132">
          <cell r="C132">
            <v>9622</v>
          </cell>
          <cell r="D132">
            <v>50837.62</v>
          </cell>
          <cell r="F132">
            <v>16</v>
          </cell>
          <cell r="G132">
            <v>910.55</v>
          </cell>
          <cell r="H132">
            <v>11</v>
          </cell>
          <cell r="I132">
            <v>6789.3</v>
          </cell>
        </row>
        <row r="153">
          <cell r="C153">
            <v>12106</v>
          </cell>
          <cell r="D153">
            <v>63284.44</v>
          </cell>
          <cell r="F153">
            <v>40</v>
          </cell>
          <cell r="G153">
            <v>1081.75</v>
          </cell>
          <cell r="H153">
            <v>14</v>
          </cell>
          <cell r="I153">
            <v>4880.1000000000004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55</v>
          </cell>
          <cell r="D161">
            <v>61180.02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119672</v>
          </cell>
          <cell r="D170">
            <v>70741.11</v>
          </cell>
          <cell r="F170">
            <v>1381</v>
          </cell>
          <cell r="G170">
            <v>26388.43</v>
          </cell>
          <cell r="H170">
            <v>279</v>
          </cell>
          <cell r="I170">
            <v>10937.74</v>
          </cell>
        </row>
        <row r="175">
          <cell r="C175">
            <v>270723</v>
          </cell>
        </row>
      </sheetData>
      <sheetData sheetId="2">
        <row r="11">
          <cell r="C11">
            <v>46985</v>
          </cell>
          <cell r="D11">
            <v>259178.93</v>
          </cell>
          <cell r="J11">
            <v>1962</v>
          </cell>
          <cell r="K11">
            <v>127839.79</v>
          </cell>
        </row>
        <row r="12">
          <cell r="C12">
            <v>5403</v>
          </cell>
          <cell r="D12">
            <v>63687.72</v>
          </cell>
          <cell r="J12">
            <v>308</v>
          </cell>
          <cell r="K12">
            <v>17697.509999999998</v>
          </cell>
        </row>
        <row r="13">
          <cell r="C13">
            <v>362</v>
          </cell>
          <cell r="D13">
            <v>6947.27</v>
          </cell>
          <cell r="J13">
            <v>18</v>
          </cell>
          <cell r="K13">
            <v>1615.52</v>
          </cell>
        </row>
        <row r="14">
          <cell r="C14">
            <v>913</v>
          </cell>
          <cell r="D14">
            <v>747.22</v>
          </cell>
          <cell r="J14">
            <v>7</v>
          </cell>
          <cell r="K14">
            <v>354.29</v>
          </cell>
        </row>
        <row r="15">
          <cell r="C15">
            <v>39</v>
          </cell>
          <cell r="D15">
            <v>124.62</v>
          </cell>
          <cell r="J15">
            <v>0</v>
          </cell>
          <cell r="K15">
            <v>0</v>
          </cell>
        </row>
        <row r="16">
          <cell r="C16">
            <v>3972</v>
          </cell>
          <cell r="D16">
            <v>6587.26</v>
          </cell>
          <cell r="J16">
            <v>39</v>
          </cell>
          <cell r="K16">
            <v>1586.68</v>
          </cell>
        </row>
        <row r="17">
          <cell r="C17">
            <v>1745</v>
          </cell>
          <cell r="D17">
            <v>537.16</v>
          </cell>
          <cell r="J17">
            <v>3</v>
          </cell>
          <cell r="K17">
            <v>124.51</v>
          </cell>
        </row>
        <row r="18">
          <cell r="C18">
            <v>116</v>
          </cell>
          <cell r="D18">
            <v>439.65</v>
          </cell>
          <cell r="J18">
            <v>5</v>
          </cell>
          <cell r="K18">
            <v>156.03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22239</v>
          </cell>
          <cell r="D25">
            <v>101466.4</v>
          </cell>
          <cell r="J25">
            <v>53</v>
          </cell>
          <cell r="K25">
            <v>8143.67</v>
          </cell>
        </row>
        <row r="26">
          <cell r="C26">
            <v>1387</v>
          </cell>
          <cell r="D26">
            <v>21890.11</v>
          </cell>
          <cell r="J26">
            <v>152</v>
          </cell>
          <cell r="K26">
            <v>40888.239999999998</v>
          </cell>
        </row>
        <row r="27">
          <cell r="C27">
            <v>107</v>
          </cell>
          <cell r="D27">
            <v>1724.3</v>
          </cell>
          <cell r="J27">
            <v>11</v>
          </cell>
          <cell r="K27">
            <v>1425.56</v>
          </cell>
        </row>
        <row r="28">
          <cell r="C28">
            <v>3</v>
          </cell>
          <cell r="D28">
            <v>16.600000000000001</v>
          </cell>
          <cell r="J28">
            <v>0</v>
          </cell>
          <cell r="K28">
            <v>0</v>
          </cell>
        </row>
        <row r="29">
          <cell r="C29">
            <v>16</v>
          </cell>
          <cell r="D29">
            <v>83.34</v>
          </cell>
          <cell r="J29">
            <v>0</v>
          </cell>
          <cell r="K29">
            <v>0</v>
          </cell>
        </row>
        <row r="30">
          <cell r="C30">
            <v>393</v>
          </cell>
          <cell r="D30">
            <v>685.2</v>
          </cell>
          <cell r="J30">
            <v>0</v>
          </cell>
          <cell r="K30">
            <v>0</v>
          </cell>
        </row>
        <row r="31">
          <cell r="C31">
            <v>1299</v>
          </cell>
          <cell r="D31">
            <v>6704.31</v>
          </cell>
          <cell r="J31">
            <v>6</v>
          </cell>
          <cell r="K31">
            <v>1100.3699999999999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200</v>
          </cell>
          <cell r="D34">
            <v>1366.53</v>
          </cell>
          <cell r="J34">
            <v>1</v>
          </cell>
          <cell r="K34">
            <v>167.71</v>
          </cell>
        </row>
        <row r="35">
          <cell r="C35">
            <v>2</v>
          </cell>
          <cell r="D35">
            <v>27.06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9</v>
          </cell>
          <cell r="D39">
            <v>61.5</v>
          </cell>
          <cell r="J39">
            <v>0</v>
          </cell>
          <cell r="K39">
            <v>0</v>
          </cell>
        </row>
        <row r="40">
          <cell r="C40">
            <v>1</v>
          </cell>
          <cell r="D40">
            <v>0.61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90524.59</v>
          </cell>
        </row>
        <row r="11">
          <cell r="P11">
            <v>178022.98</v>
          </cell>
        </row>
        <row r="12">
          <cell r="P12">
            <v>136294.43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154.4</v>
          </cell>
        </row>
        <row r="16">
          <cell r="P16">
            <v>22282.3</v>
          </cell>
        </row>
        <row r="17">
          <cell r="P17">
            <v>70134.19</v>
          </cell>
        </row>
        <row r="20">
          <cell r="P20">
            <v>163035.5</v>
          </cell>
        </row>
        <row r="26">
          <cell r="P26">
            <v>379500.74</v>
          </cell>
        </row>
        <row r="33">
          <cell r="P33">
            <v>396.18</v>
          </cell>
        </row>
        <row r="34">
          <cell r="P34">
            <v>286.58</v>
          </cell>
        </row>
        <row r="35">
          <cell r="P35">
            <v>40095.68</v>
          </cell>
        </row>
        <row r="36">
          <cell r="P36">
            <v>37970.660000000003</v>
          </cell>
        </row>
        <row r="37">
          <cell r="P37">
            <v>0</v>
          </cell>
        </row>
        <row r="38">
          <cell r="P38">
            <v>48252.69</v>
          </cell>
        </row>
        <row r="39">
          <cell r="P39">
            <v>0</v>
          </cell>
        </row>
        <row r="40">
          <cell r="P40">
            <v>42444.67</v>
          </cell>
        </row>
      </sheetData>
      <sheetData sheetId="5">
        <row r="10">
          <cell r="C10">
            <v>30390.400000000001</v>
          </cell>
          <cell r="G10">
            <v>19496.009999999998</v>
          </cell>
          <cell r="K10">
            <v>1168.8499999999999</v>
          </cell>
        </row>
        <row r="11">
          <cell r="C11">
            <v>68806.19</v>
          </cell>
          <cell r="G11">
            <v>15766.9</v>
          </cell>
          <cell r="K11">
            <v>13576.12</v>
          </cell>
        </row>
        <row r="12">
          <cell r="C12">
            <v>98927.89</v>
          </cell>
          <cell r="G12">
            <v>9785.18</v>
          </cell>
          <cell r="K12">
            <v>0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0</v>
          </cell>
          <cell r="G14">
            <v>0</v>
          </cell>
          <cell r="K14">
            <v>0</v>
          </cell>
        </row>
        <row r="15">
          <cell r="C15">
            <v>93.19</v>
          </cell>
          <cell r="G15">
            <v>0</v>
          </cell>
          <cell r="K15">
            <v>0</v>
          </cell>
        </row>
        <row r="16">
          <cell r="C16">
            <v>6204.54</v>
          </cell>
          <cell r="G16">
            <v>0</v>
          </cell>
          <cell r="K16">
            <v>0</v>
          </cell>
        </row>
        <row r="17">
          <cell r="C17">
            <v>47960.6</v>
          </cell>
          <cell r="G17">
            <v>4095.9</v>
          </cell>
          <cell r="K17">
            <v>0</v>
          </cell>
        </row>
        <row r="20">
          <cell r="C20">
            <v>78790.66</v>
          </cell>
          <cell r="G20">
            <v>2395.23</v>
          </cell>
          <cell r="K20">
            <v>0</v>
          </cell>
        </row>
        <row r="26">
          <cell r="C26">
            <v>243267.58</v>
          </cell>
          <cell r="G26">
            <v>226089.54</v>
          </cell>
          <cell r="K26">
            <v>0</v>
          </cell>
        </row>
        <row r="33">
          <cell r="C33">
            <v>182.12</v>
          </cell>
          <cell r="G33">
            <v>0</v>
          </cell>
          <cell r="K33">
            <v>0</v>
          </cell>
        </row>
        <row r="34">
          <cell r="C34">
            <v>179</v>
          </cell>
          <cell r="G34">
            <v>0</v>
          </cell>
          <cell r="K34">
            <v>0</v>
          </cell>
        </row>
        <row r="35">
          <cell r="C35">
            <v>19336.46</v>
          </cell>
          <cell r="G35">
            <v>837.5</v>
          </cell>
          <cell r="K35">
            <v>0</v>
          </cell>
        </row>
        <row r="36">
          <cell r="C36">
            <v>54055.14</v>
          </cell>
          <cell r="G36">
            <v>0</v>
          </cell>
          <cell r="K36">
            <v>613.23</v>
          </cell>
        </row>
        <row r="37">
          <cell r="C37">
            <v>0</v>
          </cell>
          <cell r="G37">
            <v>0</v>
          </cell>
          <cell r="K37">
            <v>0</v>
          </cell>
        </row>
        <row r="38">
          <cell r="C38">
            <v>15564.65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10140.75</v>
          </cell>
          <cell r="G40">
            <v>873.86</v>
          </cell>
          <cell r="K40">
            <v>2369.37</v>
          </cell>
        </row>
        <row r="41">
          <cell r="C41">
            <v>673899.17</v>
          </cell>
          <cell r="D41">
            <v>10875.69</v>
          </cell>
          <cell r="E41">
            <v>940546.05</v>
          </cell>
          <cell r="G41">
            <v>279340.12</v>
          </cell>
          <cell r="I41">
            <v>90086.95</v>
          </cell>
          <cell r="K41">
            <v>17727.57</v>
          </cell>
          <cell r="M41">
            <v>0</v>
          </cell>
        </row>
      </sheetData>
      <sheetData sheetId="6">
        <row r="9">
          <cell r="C9">
            <v>167495</v>
          </cell>
          <cell r="D9">
            <v>1251834.93</v>
          </cell>
        </row>
        <row r="18">
          <cell r="C18">
            <v>76139</v>
          </cell>
          <cell r="D18">
            <v>366405.59</v>
          </cell>
          <cell r="E18">
            <v>87350.8</v>
          </cell>
        </row>
        <row r="19">
          <cell r="C19">
            <v>39</v>
          </cell>
          <cell r="D19">
            <v>541.32000000000005</v>
          </cell>
          <cell r="E19">
            <v>172.6</v>
          </cell>
        </row>
        <row r="20">
          <cell r="C20">
            <v>4691</v>
          </cell>
          <cell r="D20">
            <v>3157.89</v>
          </cell>
          <cell r="E20">
            <v>651.19000000000005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12353</v>
          </cell>
          <cell r="D22">
            <v>29434.05</v>
          </cell>
          <cell r="E22">
            <v>7561.45</v>
          </cell>
        </row>
        <row r="29">
          <cell r="C29">
            <v>10006</v>
          </cell>
          <cell r="D29">
            <v>54379.519999999997</v>
          </cell>
          <cell r="E29">
            <v>18365.009999999998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29459</v>
          </cell>
          <cell r="D10">
            <v>47381</v>
          </cell>
          <cell r="F10">
            <v>257</v>
          </cell>
          <cell r="G10">
            <v>7990</v>
          </cell>
          <cell r="H10">
            <v>56</v>
          </cell>
          <cell r="I10">
            <v>2948</v>
          </cell>
        </row>
        <row r="20">
          <cell r="C20">
            <v>61</v>
          </cell>
          <cell r="D20">
            <v>17108</v>
          </cell>
          <cell r="F20">
            <v>1245</v>
          </cell>
          <cell r="G20">
            <v>11033</v>
          </cell>
          <cell r="H20">
            <v>48</v>
          </cell>
          <cell r="I20">
            <v>1292</v>
          </cell>
        </row>
        <row r="24">
          <cell r="C24">
            <v>11937</v>
          </cell>
          <cell r="D24">
            <v>89796</v>
          </cell>
          <cell r="F24">
            <v>614</v>
          </cell>
          <cell r="G24">
            <v>42149</v>
          </cell>
          <cell r="H24">
            <v>210</v>
          </cell>
          <cell r="I24">
            <v>18098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1</v>
          </cell>
          <cell r="D33">
            <v>39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310</v>
          </cell>
          <cell r="D36">
            <v>18644</v>
          </cell>
          <cell r="F36">
            <v>1</v>
          </cell>
          <cell r="G36">
            <v>36</v>
          </cell>
          <cell r="H36">
            <v>0</v>
          </cell>
          <cell r="I36">
            <v>0</v>
          </cell>
        </row>
        <row r="40">
          <cell r="C40">
            <v>6301</v>
          </cell>
          <cell r="D40">
            <v>59530</v>
          </cell>
          <cell r="F40">
            <v>17</v>
          </cell>
          <cell r="G40">
            <v>970</v>
          </cell>
          <cell r="H40">
            <v>5</v>
          </cell>
          <cell r="I40">
            <v>279</v>
          </cell>
        </row>
        <row r="56">
          <cell r="C56">
            <v>2202</v>
          </cell>
          <cell r="D56">
            <v>71086</v>
          </cell>
          <cell r="F56">
            <v>338</v>
          </cell>
          <cell r="G56">
            <v>22686</v>
          </cell>
          <cell r="H56">
            <v>65</v>
          </cell>
          <cell r="I56">
            <v>10441</v>
          </cell>
        </row>
        <row r="88">
          <cell r="C88">
            <v>90229</v>
          </cell>
          <cell r="D88">
            <v>428070</v>
          </cell>
          <cell r="F88">
            <v>2024</v>
          </cell>
          <cell r="G88">
            <v>146714</v>
          </cell>
          <cell r="H88">
            <v>730</v>
          </cell>
          <cell r="I88">
            <v>162749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32</v>
          </cell>
          <cell r="D128">
            <v>95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1565</v>
          </cell>
          <cell r="D132">
            <v>12692</v>
          </cell>
          <cell r="F132">
            <v>24</v>
          </cell>
          <cell r="G132">
            <v>404</v>
          </cell>
          <cell r="H132">
            <v>19</v>
          </cell>
          <cell r="I132">
            <v>1166</v>
          </cell>
        </row>
        <row r="153">
          <cell r="C153">
            <v>53</v>
          </cell>
          <cell r="D153">
            <v>1110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8</v>
          </cell>
          <cell r="D158">
            <v>431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8</v>
          </cell>
          <cell r="D161">
            <v>176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18799</v>
          </cell>
          <cell r="D170">
            <v>12113</v>
          </cell>
          <cell r="F170">
            <v>146</v>
          </cell>
          <cell r="G170">
            <v>4205</v>
          </cell>
          <cell r="H170">
            <v>95</v>
          </cell>
          <cell r="I170">
            <v>2490</v>
          </cell>
        </row>
        <row r="175">
          <cell r="C175">
            <v>129261</v>
          </cell>
        </row>
      </sheetData>
      <sheetData sheetId="2">
        <row r="11">
          <cell r="C11">
            <v>30479</v>
          </cell>
          <cell r="D11">
            <v>174991</v>
          </cell>
          <cell r="J11">
            <v>1646</v>
          </cell>
          <cell r="K11">
            <v>92981</v>
          </cell>
        </row>
        <row r="12">
          <cell r="C12">
            <v>3117</v>
          </cell>
          <cell r="D12">
            <v>35599</v>
          </cell>
          <cell r="J12">
            <v>201</v>
          </cell>
          <cell r="K12">
            <v>13365</v>
          </cell>
        </row>
        <row r="13">
          <cell r="C13">
            <v>214</v>
          </cell>
          <cell r="D13">
            <v>4426</v>
          </cell>
          <cell r="J13">
            <v>10</v>
          </cell>
          <cell r="K13">
            <v>939</v>
          </cell>
        </row>
        <row r="14">
          <cell r="C14">
            <v>236</v>
          </cell>
          <cell r="D14">
            <v>188</v>
          </cell>
          <cell r="J14">
            <v>3</v>
          </cell>
          <cell r="K14">
            <v>110</v>
          </cell>
        </row>
        <row r="15">
          <cell r="C15">
            <v>100</v>
          </cell>
          <cell r="D15">
            <v>262</v>
          </cell>
          <cell r="J15">
            <v>1</v>
          </cell>
          <cell r="K15">
            <v>53</v>
          </cell>
        </row>
        <row r="16">
          <cell r="C16">
            <v>1922</v>
          </cell>
          <cell r="D16">
            <v>3468</v>
          </cell>
          <cell r="J16">
            <v>14</v>
          </cell>
          <cell r="K16">
            <v>492</v>
          </cell>
        </row>
        <row r="17">
          <cell r="C17">
            <v>709</v>
          </cell>
          <cell r="D17">
            <v>234</v>
          </cell>
          <cell r="J17">
            <v>1</v>
          </cell>
          <cell r="K17">
            <v>11</v>
          </cell>
        </row>
        <row r="18">
          <cell r="C18">
            <v>139</v>
          </cell>
          <cell r="D18">
            <v>603</v>
          </cell>
          <cell r="J18">
            <v>42</v>
          </cell>
          <cell r="K18">
            <v>2210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12685</v>
          </cell>
          <cell r="D25">
            <v>60408</v>
          </cell>
          <cell r="J25">
            <v>31</v>
          </cell>
          <cell r="K25">
            <v>6108</v>
          </cell>
        </row>
        <row r="26">
          <cell r="C26">
            <v>551</v>
          </cell>
          <cell r="D26">
            <v>9374</v>
          </cell>
          <cell r="J26">
            <v>45</v>
          </cell>
          <cell r="K26">
            <v>20384</v>
          </cell>
        </row>
        <row r="27">
          <cell r="C27">
            <v>65</v>
          </cell>
          <cell r="D27">
            <v>1102</v>
          </cell>
          <cell r="J27">
            <v>2</v>
          </cell>
          <cell r="K27">
            <v>148</v>
          </cell>
        </row>
        <row r="28">
          <cell r="C28">
            <v>3</v>
          </cell>
          <cell r="D28">
            <v>17</v>
          </cell>
          <cell r="J28">
            <v>0</v>
          </cell>
          <cell r="K28">
            <v>0</v>
          </cell>
        </row>
        <row r="29">
          <cell r="C29">
            <v>7</v>
          </cell>
          <cell r="D29">
            <v>39</v>
          </cell>
          <cell r="J29">
            <v>0</v>
          </cell>
          <cell r="K29">
            <v>0</v>
          </cell>
        </row>
        <row r="30">
          <cell r="C30">
            <v>184</v>
          </cell>
          <cell r="D30">
            <v>340</v>
          </cell>
          <cell r="J30">
            <v>0</v>
          </cell>
          <cell r="K30">
            <v>0</v>
          </cell>
        </row>
        <row r="31">
          <cell r="C31">
            <v>484</v>
          </cell>
          <cell r="D31">
            <v>2669</v>
          </cell>
          <cell r="J31">
            <v>5</v>
          </cell>
          <cell r="K31">
            <v>481</v>
          </cell>
        </row>
        <row r="32">
          <cell r="C32">
            <v>3</v>
          </cell>
          <cell r="D32">
            <v>17</v>
          </cell>
          <cell r="J32">
            <v>0</v>
          </cell>
          <cell r="K32">
            <v>0</v>
          </cell>
        </row>
        <row r="34">
          <cell r="C34">
            <v>38281</v>
          </cell>
          <cell r="D34">
            <v>123280</v>
          </cell>
          <cell r="J34">
            <v>16</v>
          </cell>
          <cell r="K34">
            <v>9149</v>
          </cell>
        </row>
        <row r="35">
          <cell r="C35">
            <v>561</v>
          </cell>
          <cell r="D35">
            <v>3765</v>
          </cell>
          <cell r="J35">
            <v>1</v>
          </cell>
          <cell r="K35">
            <v>55</v>
          </cell>
        </row>
        <row r="36">
          <cell r="C36">
            <v>45</v>
          </cell>
          <cell r="D36">
            <v>326</v>
          </cell>
          <cell r="J36">
            <v>0</v>
          </cell>
          <cell r="K36">
            <v>0</v>
          </cell>
        </row>
        <row r="37">
          <cell r="C37">
            <v>4</v>
          </cell>
          <cell r="D37">
            <v>56</v>
          </cell>
          <cell r="J37">
            <v>0</v>
          </cell>
          <cell r="K37">
            <v>0</v>
          </cell>
        </row>
        <row r="38">
          <cell r="C38">
            <v>21</v>
          </cell>
          <cell r="D38">
            <v>137</v>
          </cell>
          <cell r="J38">
            <v>0</v>
          </cell>
          <cell r="K38">
            <v>0</v>
          </cell>
        </row>
        <row r="39">
          <cell r="C39">
            <v>43</v>
          </cell>
          <cell r="D39">
            <v>134</v>
          </cell>
          <cell r="J39">
            <v>0</v>
          </cell>
          <cell r="K39">
            <v>0</v>
          </cell>
        </row>
        <row r="40">
          <cell r="C40">
            <v>97</v>
          </cell>
          <cell r="D40">
            <v>63</v>
          </cell>
          <cell r="J40">
            <v>0</v>
          </cell>
          <cell r="K40">
            <v>0</v>
          </cell>
        </row>
        <row r="41">
          <cell r="C41">
            <v>2</v>
          </cell>
          <cell r="D41">
            <v>28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25007</v>
          </cell>
        </row>
        <row r="11">
          <cell r="P11">
            <v>11646</v>
          </cell>
        </row>
        <row r="12">
          <cell r="P12">
            <v>58367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25</v>
          </cell>
        </row>
        <row r="16">
          <cell r="P16">
            <v>13051</v>
          </cell>
        </row>
        <row r="17">
          <cell r="P17">
            <v>35718</v>
          </cell>
        </row>
        <row r="20">
          <cell r="P20">
            <v>42651</v>
          </cell>
        </row>
        <row r="26">
          <cell r="P26">
            <v>329613</v>
          </cell>
        </row>
        <row r="33">
          <cell r="P33">
            <v>0</v>
          </cell>
        </row>
        <row r="34">
          <cell r="P34">
            <v>73</v>
          </cell>
        </row>
        <row r="35">
          <cell r="P35">
            <v>7617</v>
          </cell>
        </row>
        <row r="36">
          <cell r="P36">
            <v>333</v>
          </cell>
        </row>
        <row r="37">
          <cell r="P37">
            <v>280</v>
          </cell>
        </row>
        <row r="38">
          <cell r="P38">
            <v>123</v>
          </cell>
        </row>
        <row r="39">
          <cell r="P39">
            <v>0</v>
          </cell>
        </row>
        <row r="40">
          <cell r="P40">
            <v>7268</v>
          </cell>
        </row>
      </sheetData>
      <sheetData sheetId="5">
        <row r="10">
          <cell r="C10">
            <v>13216</v>
          </cell>
          <cell r="G10">
            <v>11514</v>
          </cell>
          <cell r="K10">
            <v>0</v>
          </cell>
        </row>
        <row r="11">
          <cell r="C11">
            <v>4458</v>
          </cell>
          <cell r="G11">
            <v>3826</v>
          </cell>
          <cell r="K11">
            <v>0</v>
          </cell>
        </row>
        <row r="12">
          <cell r="C12">
            <v>44956</v>
          </cell>
          <cell r="G12">
            <v>15252</v>
          </cell>
          <cell r="K12">
            <v>2196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0</v>
          </cell>
          <cell r="G14">
            <v>0</v>
          </cell>
          <cell r="K14">
            <v>0</v>
          </cell>
        </row>
        <row r="15">
          <cell r="C15">
            <v>20</v>
          </cell>
          <cell r="G15">
            <v>0</v>
          </cell>
          <cell r="K15">
            <v>0</v>
          </cell>
        </row>
        <row r="16">
          <cell r="C16">
            <v>1250</v>
          </cell>
          <cell r="G16">
            <v>666</v>
          </cell>
          <cell r="K16">
            <v>0</v>
          </cell>
        </row>
        <row r="17">
          <cell r="C17">
            <v>29048</v>
          </cell>
          <cell r="G17">
            <v>253</v>
          </cell>
          <cell r="K17">
            <v>0</v>
          </cell>
        </row>
        <row r="20">
          <cell r="C20">
            <v>28829</v>
          </cell>
          <cell r="G20">
            <v>15940</v>
          </cell>
          <cell r="K20">
            <v>0</v>
          </cell>
        </row>
        <row r="26">
          <cell r="C26">
            <v>155778</v>
          </cell>
          <cell r="G26">
            <v>222450</v>
          </cell>
          <cell r="K26">
            <v>0</v>
          </cell>
        </row>
        <row r="33">
          <cell r="C33">
            <v>0</v>
          </cell>
          <cell r="G33">
            <v>0</v>
          </cell>
          <cell r="K33">
            <v>0</v>
          </cell>
        </row>
        <row r="34">
          <cell r="C34">
            <v>49</v>
          </cell>
          <cell r="G34">
            <v>0</v>
          </cell>
          <cell r="K34">
            <v>0</v>
          </cell>
        </row>
        <row r="35">
          <cell r="C35">
            <v>6994</v>
          </cell>
          <cell r="G35">
            <v>1301</v>
          </cell>
          <cell r="K35">
            <v>0</v>
          </cell>
        </row>
        <row r="36">
          <cell r="C36">
            <v>28</v>
          </cell>
          <cell r="G36">
            <v>0</v>
          </cell>
          <cell r="K36">
            <v>0</v>
          </cell>
        </row>
        <row r="37">
          <cell r="C37">
            <v>154</v>
          </cell>
          <cell r="G37">
            <v>0</v>
          </cell>
          <cell r="K37">
            <v>0</v>
          </cell>
        </row>
        <row r="38">
          <cell r="C38">
            <v>101</v>
          </cell>
          <cell r="G38">
            <v>84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3068</v>
          </cell>
          <cell r="G40">
            <v>2023</v>
          </cell>
          <cell r="K40">
            <v>0</v>
          </cell>
        </row>
        <row r="41">
          <cell r="C41">
            <v>287949</v>
          </cell>
          <cell r="D41">
            <v>2241</v>
          </cell>
          <cell r="E41">
            <v>199463</v>
          </cell>
          <cell r="G41">
            <v>273309</v>
          </cell>
          <cell r="I41">
            <v>32820</v>
          </cell>
          <cell r="K41">
            <v>2196</v>
          </cell>
          <cell r="M41">
            <v>23000</v>
          </cell>
        </row>
      </sheetData>
      <sheetData sheetId="6">
        <row r="9">
          <cell r="C9">
            <v>13391</v>
          </cell>
          <cell r="D9">
            <v>131209</v>
          </cell>
        </row>
        <row r="18">
          <cell r="C18">
            <v>16029</v>
          </cell>
          <cell r="D18">
            <v>144900</v>
          </cell>
          <cell r="E18">
            <v>50847</v>
          </cell>
        </row>
        <row r="19">
          <cell r="C19">
            <v>17736</v>
          </cell>
          <cell r="D19">
            <v>93040</v>
          </cell>
          <cell r="E19">
            <v>27819</v>
          </cell>
        </row>
        <row r="20">
          <cell r="C20">
            <v>2</v>
          </cell>
          <cell r="D20">
            <v>2</v>
          </cell>
          <cell r="E20">
            <v>1</v>
          </cell>
        </row>
        <row r="21">
          <cell r="C21">
            <v>939</v>
          </cell>
          <cell r="D21">
            <v>13004</v>
          </cell>
          <cell r="E21">
            <v>1949</v>
          </cell>
        </row>
        <row r="22">
          <cell r="C22">
            <v>3158</v>
          </cell>
          <cell r="D22">
            <v>6613</v>
          </cell>
          <cell r="E22">
            <v>1915</v>
          </cell>
        </row>
        <row r="29">
          <cell r="C29">
            <v>6316</v>
          </cell>
          <cell r="D29">
            <v>33516</v>
          </cell>
          <cell r="E29">
            <v>6319</v>
          </cell>
        </row>
        <row r="38">
          <cell r="C38">
            <v>71690</v>
          </cell>
          <cell r="D38">
            <v>335987</v>
          </cell>
          <cell r="E38">
            <v>87090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161032</v>
          </cell>
          <cell r="D10">
            <v>86519.62</v>
          </cell>
          <cell r="F10">
            <v>1054</v>
          </cell>
          <cell r="G10">
            <v>24314.66</v>
          </cell>
          <cell r="H10">
            <v>154</v>
          </cell>
          <cell r="I10">
            <v>2499.4299999999998</v>
          </cell>
        </row>
        <row r="20">
          <cell r="C20">
            <v>14668</v>
          </cell>
          <cell r="D20">
            <v>145900.95000000001</v>
          </cell>
          <cell r="F20">
            <v>6665</v>
          </cell>
          <cell r="G20">
            <v>109875.6</v>
          </cell>
          <cell r="H20">
            <v>459</v>
          </cell>
          <cell r="I20">
            <v>5521.04</v>
          </cell>
        </row>
        <row r="24">
          <cell r="C24">
            <v>9118</v>
          </cell>
          <cell r="D24">
            <v>273746.31</v>
          </cell>
          <cell r="F24">
            <v>1478</v>
          </cell>
          <cell r="G24">
            <v>167460.01</v>
          </cell>
          <cell r="H24">
            <v>277</v>
          </cell>
          <cell r="I24">
            <v>46222.49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23</v>
          </cell>
          <cell r="D33">
            <v>1088.46</v>
          </cell>
          <cell r="F33">
            <v>1</v>
          </cell>
          <cell r="G33">
            <v>39.82</v>
          </cell>
          <cell r="H33">
            <v>1</v>
          </cell>
          <cell r="I33">
            <v>20</v>
          </cell>
        </row>
        <row r="36">
          <cell r="C36">
            <v>274</v>
          </cell>
          <cell r="D36">
            <v>5366.3</v>
          </cell>
          <cell r="F36">
            <v>2</v>
          </cell>
          <cell r="G36">
            <v>5.96</v>
          </cell>
          <cell r="H36">
            <v>0</v>
          </cell>
          <cell r="I36">
            <v>0</v>
          </cell>
        </row>
        <row r="40">
          <cell r="C40">
            <v>28847</v>
          </cell>
          <cell r="D40">
            <v>110379.69</v>
          </cell>
          <cell r="F40">
            <v>150</v>
          </cell>
          <cell r="G40">
            <v>210729.48</v>
          </cell>
          <cell r="H40">
            <v>52</v>
          </cell>
          <cell r="I40">
            <v>28950.26</v>
          </cell>
        </row>
        <row r="56">
          <cell r="C56">
            <v>49487</v>
          </cell>
          <cell r="D56">
            <v>191343.04</v>
          </cell>
          <cell r="F56">
            <v>1130</v>
          </cell>
          <cell r="G56">
            <v>68332.11</v>
          </cell>
          <cell r="H56">
            <v>182</v>
          </cell>
          <cell r="I56">
            <v>12395.9</v>
          </cell>
        </row>
        <row r="88">
          <cell r="C88">
            <v>95711</v>
          </cell>
          <cell r="D88">
            <v>575893.25</v>
          </cell>
          <cell r="F88">
            <v>2829</v>
          </cell>
          <cell r="G88">
            <v>226612.39</v>
          </cell>
          <cell r="H88">
            <v>891</v>
          </cell>
          <cell r="I88">
            <v>213572.14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324</v>
          </cell>
          <cell r="D128">
            <v>1310.74</v>
          </cell>
          <cell r="F128">
            <v>2</v>
          </cell>
          <cell r="G128">
            <v>62.92</v>
          </cell>
          <cell r="H128">
            <v>1</v>
          </cell>
          <cell r="I128">
            <v>150</v>
          </cell>
        </row>
        <row r="132">
          <cell r="C132">
            <v>18410</v>
          </cell>
          <cell r="D132">
            <v>21307.74</v>
          </cell>
          <cell r="F132">
            <v>34</v>
          </cell>
          <cell r="G132">
            <v>2142.6999999999998</v>
          </cell>
          <cell r="H132">
            <v>32</v>
          </cell>
          <cell r="I132">
            <v>2453.77</v>
          </cell>
        </row>
        <row r="153">
          <cell r="C153">
            <v>46</v>
          </cell>
          <cell r="D153">
            <v>13038.24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322</v>
          </cell>
          <cell r="D161">
            <v>8790.51</v>
          </cell>
          <cell r="F161">
            <v>7</v>
          </cell>
          <cell r="G161">
            <v>5284.61</v>
          </cell>
          <cell r="H161">
            <v>5</v>
          </cell>
          <cell r="I161">
            <v>1101.1099999999999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96584</v>
          </cell>
          <cell r="D170">
            <v>58891.85</v>
          </cell>
          <cell r="F170">
            <v>1015</v>
          </cell>
          <cell r="G170">
            <v>24251.88</v>
          </cell>
          <cell r="H170">
            <v>197</v>
          </cell>
          <cell r="I170">
            <v>8030.21</v>
          </cell>
        </row>
        <row r="175">
          <cell r="C175">
            <v>274217</v>
          </cell>
        </row>
      </sheetData>
      <sheetData sheetId="2">
        <row r="11">
          <cell r="C11">
            <v>50262</v>
          </cell>
          <cell r="D11">
            <v>299470.43</v>
          </cell>
          <cell r="J11">
            <v>2051</v>
          </cell>
          <cell r="K11">
            <v>144215.79</v>
          </cell>
        </row>
        <row r="12">
          <cell r="C12">
            <v>6935</v>
          </cell>
          <cell r="D12">
            <v>79004.41</v>
          </cell>
          <cell r="J12">
            <v>381</v>
          </cell>
          <cell r="K12">
            <v>23985.9</v>
          </cell>
        </row>
        <row r="13">
          <cell r="C13">
            <v>370</v>
          </cell>
          <cell r="D13">
            <v>8128.22</v>
          </cell>
          <cell r="J13">
            <v>38</v>
          </cell>
          <cell r="K13">
            <v>2023.48</v>
          </cell>
        </row>
        <row r="14">
          <cell r="C14">
            <v>653</v>
          </cell>
          <cell r="D14">
            <v>541.6</v>
          </cell>
          <cell r="J14">
            <v>15</v>
          </cell>
          <cell r="K14">
            <v>923.14</v>
          </cell>
        </row>
        <row r="15">
          <cell r="C15">
            <v>59</v>
          </cell>
          <cell r="D15">
            <v>171.98</v>
          </cell>
          <cell r="J15">
            <v>4</v>
          </cell>
          <cell r="K15">
            <v>749.16</v>
          </cell>
        </row>
        <row r="16">
          <cell r="C16">
            <v>5258</v>
          </cell>
          <cell r="D16">
            <v>11153.55</v>
          </cell>
          <cell r="J16">
            <v>25</v>
          </cell>
          <cell r="K16">
            <v>1022.98</v>
          </cell>
        </row>
        <row r="17">
          <cell r="C17">
            <v>1672</v>
          </cell>
          <cell r="D17">
            <v>538.47</v>
          </cell>
          <cell r="J17">
            <v>0</v>
          </cell>
          <cell r="K17">
            <v>0.01</v>
          </cell>
        </row>
        <row r="18">
          <cell r="C18">
            <v>190</v>
          </cell>
          <cell r="D18">
            <v>644.86</v>
          </cell>
          <cell r="J18">
            <v>13</v>
          </cell>
          <cell r="K18">
            <v>1061.82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11.11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25340</v>
          </cell>
          <cell r="D25">
            <v>116777.58</v>
          </cell>
          <cell r="J25">
            <v>94</v>
          </cell>
          <cell r="K25">
            <v>18110.599999999999</v>
          </cell>
        </row>
        <row r="26">
          <cell r="C26">
            <v>1408</v>
          </cell>
          <cell r="D26">
            <v>21606.82</v>
          </cell>
          <cell r="J26">
            <v>132</v>
          </cell>
          <cell r="K26">
            <v>24438.34</v>
          </cell>
        </row>
        <row r="27">
          <cell r="C27">
            <v>195</v>
          </cell>
          <cell r="D27">
            <v>3044.18</v>
          </cell>
          <cell r="J27">
            <v>18</v>
          </cell>
          <cell r="K27">
            <v>4530.33</v>
          </cell>
        </row>
        <row r="28">
          <cell r="C28">
            <v>11</v>
          </cell>
          <cell r="D28">
            <v>90.72</v>
          </cell>
          <cell r="J28">
            <v>0</v>
          </cell>
          <cell r="K28">
            <v>0</v>
          </cell>
        </row>
        <row r="29">
          <cell r="C29">
            <v>6</v>
          </cell>
          <cell r="D29">
            <v>33.22</v>
          </cell>
          <cell r="J29">
            <v>0</v>
          </cell>
          <cell r="K29">
            <v>0</v>
          </cell>
        </row>
        <row r="30">
          <cell r="C30">
            <v>855</v>
          </cell>
          <cell r="D30">
            <v>1500.19</v>
          </cell>
          <cell r="J30">
            <v>2</v>
          </cell>
          <cell r="K30">
            <v>174.27</v>
          </cell>
        </row>
        <row r="31">
          <cell r="C31">
            <v>1189</v>
          </cell>
          <cell r="D31">
            <v>6084.28</v>
          </cell>
          <cell r="J31">
            <v>0</v>
          </cell>
          <cell r="K31">
            <v>0</v>
          </cell>
        </row>
        <row r="32">
          <cell r="C32">
            <v>2</v>
          </cell>
          <cell r="D32">
            <v>11.07</v>
          </cell>
          <cell r="J32">
            <v>0</v>
          </cell>
          <cell r="K32">
            <v>0</v>
          </cell>
        </row>
        <row r="34">
          <cell r="C34">
            <v>307</v>
          </cell>
          <cell r="D34">
            <v>1880.34</v>
          </cell>
          <cell r="J34">
            <v>1</v>
          </cell>
          <cell r="K34">
            <v>154.22</v>
          </cell>
        </row>
        <row r="35">
          <cell r="C35">
            <v>3</v>
          </cell>
          <cell r="D35">
            <v>22.15</v>
          </cell>
          <cell r="J35">
            <v>0</v>
          </cell>
          <cell r="K35">
            <v>0</v>
          </cell>
        </row>
        <row r="36">
          <cell r="C36">
            <v>1</v>
          </cell>
          <cell r="D36">
            <v>17.850000000000001</v>
          </cell>
          <cell r="J36">
            <v>0</v>
          </cell>
          <cell r="K36">
            <v>0</v>
          </cell>
        </row>
        <row r="37">
          <cell r="C37">
            <v>1</v>
          </cell>
          <cell r="D37">
            <v>1.23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4</v>
          </cell>
          <cell r="D39">
            <v>17.260000000000002</v>
          </cell>
          <cell r="J39">
            <v>0</v>
          </cell>
          <cell r="K39">
            <v>0</v>
          </cell>
        </row>
        <row r="40">
          <cell r="C40">
            <v>12</v>
          </cell>
          <cell r="D40">
            <v>10.47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72129</v>
          </cell>
        </row>
        <row r="11">
          <cell r="P11">
            <v>121585</v>
          </cell>
        </row>
        <row r="12">
          <cell r="P12">
            <v>218997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871</v>
          </cell>
        </row>
        <row r="16">
          <cell r="P16">
            <v>4293</v>
          </cell>
        </row>
        <row r="17">
          <cell r="P17">
            <v>88562</v>
          </cell>
        </row>
        <row r="20">
          <cell r="P20">
            <v>154142</v>
          </cell>
        </row>
        <row r="26">
          <cell r="P26">
            <v>443026</v>
          </cell>
        </row>
        <row r="33">
          <cell r="P33">
            <v>0</v>
          </cell>
        </row>
        <row r="34">
          <cell r="P34">
            <v>1092</v>
          </cell>
        </row>
        <row r="35">
          <cell r="P35">
            <v>17609</v>
          </cell>
        </row>
        <row r="36">
          <cell r="P36">
            <v>9127</v>
          </cell>
        </row>
        <row r="37">
          <cell r="P37">
            <v>0</v>
          </cell>
        </row>
        <row r="38">
          <cell r="P38">
            <v>7325</v>
          </cell>
        </row>
        <row r="39">
          <cell r="P39">
            <v>0</v>
          </cell>
        </row>
        <row r="40">
          <cell r="P40">
            <v>39592</v>
          </cell>
        </row>
      </sheetData>
      <sheetData sheetId="5">
        <row r="10">
          <cell r="C10">
            <v>30708.21</v>
          </cell>
          <cell r="G10">
            <v>14483.83</v>
          </cell>
          <cell r="K10">
            <v>0</v>
          </cell>
        </row>
        <row r="11">
          <cell r="C11">
            <v>64910.28</v>
          </cell>
          <cell r="G11">
            <v>8992.25</v>
          </cell>
          <cell r="K11">
            <v>12171.75</v>
          </cell>
        </row>
        <row r="12">
          <cell r="C12">
            <v>142632.65</v>
          </cell>
          <cell r="G12">
            <v>24673.85</v>
          </cell>
          <cell r="K12">
            <v>12465.64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0</v>
          </cell>
          <cell r="G14">
            <v>0</v>
          </cell>
          <cell r="K14">
            <v>0</v>
          </cell>
        </row>
        <row r="15">
          <cell r="C15">
            <v>441.69</v>
          </cell>
          <cell r="G15">
            <v>0</v>
          </cell>
          <cell r="K15">
            <v>0</v>
          </cell>
        </row>
        <row r="16">
          <cell r="C16">
            <v>1655.02</v>
          </cell>
          <cell r="G16">
            <v>0</v>
          </cell>
          <cell r="K16">
            <v>0</v>
          </cell>
        </row>
        <row r="17">
          <cell r="C17">
            <v>49002.47</v>
          </cell>
          <cell r="G17">
            <v>4586.25</v>
          </cell>
          <cell r="K17">
            <v>0</v>
          </cell>
        </row>
        <row r="20">
          <cell r="C20">
            <v>89837.18</v>
          </cell>
          <cell r="G20">
            <v>13115.95</v>
          </cell>
          <cell r="K20">
            <v>0</v>
          </cell>
        </row>
        <row r="26">
          <cell r="C26">
            <v>288826.51</v>
          </cell>
          <cell r="G26">
            <v>181461.05</v>
          </cell>
          <cell r="K26">
            <v>0</v>
          </cell>
        </row>
        <row r="33">
          <cell r="C33">
            <v>0</v>
          </cell>
          <cell r="G33">
            <v>0</v>
          </cell>
          <cell r="K33">
            <v>0</v>
          </cell>
        </row>
        <row r="34">
          <cell r="C34">
            <v>664.59</v>
          </cell>
          <cell r="G34">
            <v>0</v>
          </cell>
        </row>
        <row r="35">
          <cell r="C35">
            <v>7771.38</v>
          </cell>
          <cell r="G35">
            <v>200</v>
          </cell>
          <cell r="K35">
            <v>0</v>
          </cell>
        </row>
        <row r="36">
          <cell r="C36">
            <v>1699.79</v>
          </cell>
          <cell r="G36">
            <v>0</v>
          </cell>
          <cell r="K36">
            <v>0</v>
          </cell>
        </row>
        <row r="37">
          <cell r="C37">
            <v>0</v>
          </cell>
          <cell r="G37">
            <v>0</v>
          </cell>
          <cell r="K37">
            <v>0</v>
          </cell>
        </row>
        <row r="38">
          <cell r="C38">
            <v>1665.51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6242.93</v>
          </cell>
          <cell r="G40">
            <v>3207.86</v>
          </cell>
          <cell r="K40">
            <v>0</v>
          </cell>
        </row>
        <row r="41">
          <cell r="C41">
            <v>686058.21</v>
          </cell>
          <cell r="D41">
            <v>10619.58</v>
          </cell>
          <cell r="E41">
            <v>320916.34999999998</v>
          </cell>
          <cell r="G41">
            <v>250721.04</v>
          </cell>
          <cell r="I41">
            <v>18292.39</v>
          </cell>
          <cell r="K41">
            <v>24637.39</v>
          </cell>
          <cell r="M41">
            <v>0</v>
          </cell>
        </row>
      </sheetData>
      <sheetData sheetId="6">
        <row r="9">
          <cell r="C9">
            <v>100235</v>
          </cell>
          <cell r="D9">
            <v>800131.53</v>
          </cell>
        </row>
        <row r="18">
          <cell r="C18">
            <v>36013</v>
          </cell>
          <cell r="D18">
            <v>277765.65000000002</v>
          </cell>
          <cell r="E18">
            <v>55087.73</v>
          </cell>
        </row>
        <row r="19">
          <cell r="C19">
            <v>4529</v>
          </cell>
          <cell r="D19">
            <v>19332.23</v>
          </cell>
          <cell r="E19">
            <v>4392.5600000000004</v>
          </cell>
        </row>
        <row r="20">
          <cell r="C20">
            <v>5221</v>
          </cell>
          <cell r="D20">
            <v>3265</v>
          </cell>
          <cell r="E20">
            <v>979.32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50038</v>
          </cell>
          <cell r="D22">
            <v>68013.539999999994</v>
          </cell>
          <cell r="E22">
            <v>20388.16</v>
          </cell>
        </row>
        <row r="29">
          <cell r="C29">
            <v>42285</v>
          </cell>
          <cell r="D29">
            <v>297910.38</v>
          </cell>
          <cell r="E29">
            <v>55309.45</v>
          </cell>
        </row>
        <row r="38">
          <cell r="C38">
            <v>35896</v>
          </cell>
          <cell r="D38">
            <v>27158.27</v>
          </cell>
          <cell r="E38">
            <v>2233.2800000000002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>
        <row r="10">
          <cell r="C10">
            <v>58937</v>
          </cell>
          <cell r="D10">
            <v>103878</v>
          </cell>
          <cell r="F10">
            <v>1331</v>
          </cell>
          <cell r="G10">
            <v>67796</v>
          </cell>
          <cell r="H10">
            <v>221</v>
          </cell>
          <cell r="I10">
            <v>7527</v>
          </cell>
        </row>
        <row r="20">
          <cell r="C20">
            <v>1212</v>
          </cell>
          <cell r="D20">
            <v>222869</v>
          </cell>
          <cell r="F20">
            <v>13411</v>
          </cell>
          <cell r="G20">
            <v>152294</v>
          </cell>
          <cell r="H20">
            <v>998</v>
          </cell>
          <cell r="I20">
            <v>17684</v>
          </cell>
        </row>
        <row r="24">
          <cell r="C24">
            <v>5633</v>
          </cell>
          <cell r="D24">
            <v>159676</v>
          </cell>
          <cell r="F24">
            <v>735</v>
          </cell>
          <cell r="G24">
            <v>69015</v>
          </cell>
          <cell r="H24">
            <v>344</v>
          </cell>
          <cell r="I24">
            <v>34679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6</v>
          </cell>
          <cell r="D30">
            <v>76232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1</v>
          </cell>
          <cell r="D33">
            <v>31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574</v>
          </cell>
          <cell r="D36">
            <v>5995</v>
          </cell>
          <cell r="F36">
            <v>0</v>
          </cell>
          <cell r="G36">
            <v>0</v>
          </cell>
          <cell r="H36">
            <v>1</v>
          </cell>
          <cell r="I36">
            <v>12</v>
          </cell>
        </row>
        <row r="40">
          <cell r="C40">
            <v>14781</v>
          </cell>
          <cell r="D40">
            <v>540034</v>
          </cell>
          <cell r="F40">
            <v>399</v>
          </cell>
          <cell r="G40">
            <v>50187</v>
          </cell>
          <cell r="H40">
            <v>51</v>
          </cell>
          <cell r="I40">
            <v>32498</v>
          </cell>
        </row>
        <row r="56">
          <cell r="C56">
            <v>12851</v>
          </cell>
          <cell r="D56">
            <v>309830</v>
          </cell>
          <cell r="F56">
            <v>126</v>
          </cell>
          <cell r="G56">
            <v>5021</v>
          </cell>
          <cell r="H56">
            <v>44</v>
          </cell>
          <cell r="I56">
            <v>9179</v>
          </cell>
        </row>
        <row r="88">
          <cell r="C88">
            <v>90383</v>
          </cell>
          <cell r="D88">
            <v>487397</v>
          </cell>
          <cell r="F88">
            <v>2455</v>
          </cell>
          <cell r="G88">
            <v>199028</v>
          </cell>
          <cell r="H88">
            <v>1605</v>
          </cell>
          <cell r="I88">
            <v>254610</v>
          </cell>
        </row>
        <row r="124">
          <cell r="C124">
            <v>6</v>
          </cell>
          <cell r="D124">
            <v>8843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249</v>
          </cell>
          <cell r="D128">
            <v>947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14414</v>
          </cell>
          <cell r="D132">
            <v>168752</v>
          </cell>
          <cell r="F132">
            <v>62</v>
          </cell>
          <cell r="G132">
            <v>3151</v>
          </cell>
          <cell r="H132">
            <v>29</v>
          </cell>
          <cell r="I132">
            <v>3550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41</v>
          </cell>
          <cell r="D158">
            <v>278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975</v>
          </cell>
          <cell r="D161">
            <v>503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111509</v>
          </cell>
          <cell r="D170">
            <v>55050</v>
          </cell>
          <cell r="F170">
            <v>619</v>
          </cell>
          <cell r="G170">
            <v>17090</v>
          </cell>
          <cell r="H170">
            <v>253</v>
          </cell>
          <cell r="I170">
            <v>5381</v>
          </cell>
        </row>
        <row r="175">
          <cell r="C175">
            <v>226430</v>
          </cell>
        </row>
      </sheetData>
      <sheetData sheetId="1">
        <row r="11">
          <cell r="C11">
            <v>51651</v>
          </cell>
          <cell r="D11">
            <v>281817</v>
          </cell>
          <cell r="J11">
            <v>2044</v>
          </cell>
          <cell r="K11">
            <v>153124</v>
          </cell>
        </row>
        <row r="12">
          <cell r="C12">
            <v>4528</v>
          </cell>
          <cell r="D12">
            <v>51533</v>
          </cell>
          <cell r="J12">
            <v>265</v>
          </cell>
          <cell r="K12">
            <v>17118</v>
          </cell>
        </row>
        <row r="13">
          <cell r="C13">
            <v>780</v>
          </cell>
          <cell r="D13">
            <v>5636</v>
          </cell>
          <cell r="J13">
            <v>12</v>
          </cell>
          <cell r="K13">
            <v>532</v>
          </cell>
        </row>
        <row r="14">
          <cell r="C14">
            <v>472</v>
          </cell>
          <cell r="D14">
            <v>339</v>
          </cell>
          <cell r="J14">
            <v>9</v>
          </cell>
          <cell r="K14">
            <v>780</v>
          </cell>
        </row>
        <row r="15">
          <cell r="C15">
            <v>39</v>
          </cell>
          <cell r="D15">
            <v>125</v>
          </cell>
          <cell r="J15">
            <v>0</v>
          </cell>
          <cell r="K15">
            <v>0</v>
          </cell>
        </row>
        <row r="16">
          <cell r="C16">
            <v>3784</v>
          </cell>
          <cell r="D16">
            <v>5394</v>
          </cell>
          <cell r="J16">
            <v>16</v>
          </cell>
          <cell r="K16">
            <v>526</v>
          </cell>
        </row>
        <row r="17">
          <cell r="C17">
            <v>892</v>
          </cell>
          <cell r="D17">
            <v>285</v>
          </cell>
          <cell r="J17">
            <v>0</v>
          </cell>
          <cell r="K17">
            <v>62</v>
          </cell>
        </row>
        <row r="18">
          <cell r="C18">
            <v>179</v>
          </cell>
          <cell r="D18">
            <v>810</v>
          </cell>
          <cell r="J18">
            <v>4</v>
          </cell>
          <cell r="K18">
            <v>138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1295</v>
          </cell>
          <cell r="D21">
            <v>825</v>
          </cell>
          <cell r="J21">
            <v>2</v>
          </cell>
          <cell r="K21">
            <v>154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99</v>
          </cell>
          <cell r="D23">
            <v>663</v>
          </cell>
          <cell r="J23">
            <v>0</v>
          </cell>
          <cell r="K23">
            <v>0</v>
          </cell>
        </row>
        <row r="25">
          <cell r="C25">
            <v>23869</v>
          </cell>
          <cell r="D25">
            <v>109109</v>
          </cell>
          <cell r="J25">
            <v>52</v>
          </cell>
          <cell r="K25">
            <v>15006</v>
          </cell>
        </row>
        <row r="26">
          <cell r="C26">
            <v>614</v>
          </cell>
          <cell r="D26">
            <v>10454</v>
          </cell>
          <cell r="J26">
            <v>37</v>
          </cell>
          <cell r="K26">
            <v>8860</v>
          </cell>
        </row>
        <row r="27">
          <cell r="C27">
            <v>641</v>
          </cell>
          <cell r="D27">
            <v>5958</v>
          </cell>
          <cell r="J27">
            <v>7</v>
          </cell>
          <cell r="K27">
            <v>423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8</v>
          </cell>
          <cell r="D29">
            <v>44</v>
          </cell>
          <cell r="J29">
            <v>0</v>
          </cell>
          <cell r="K29">
            <v>0</v>
          </cell>
        </row>
        <row r="30">
          <cell r="C30">
            <v>327</v>
          </cell>
          <cell r="D30">
            <v>579</v>
          </cell>
          <cell r="J30">
            <v>1</v>
          </cell>
          <cell r="K30">
            <v>16</v>
          </cell>
        </row>
        <row r="31">
          <cell r="C31">
            <v>516</v>
          </cell>
          <cell r="D31">
            <v>2774</v>
          </cell>
          <cell r="J31">
            <v>1</v>
          </cell>
          <cell r="K31">
            <v>60</v>
          </cell>
        </row>
        <row r="32">
          <cell r="C32">
            <v>5</v>
          </cell>
          <cell r="D32">
            <v>28</v>
          </cell>
          <cell r="J32">
            <v>0</v>
          </cell>
          <cell r="K32">
            <v>0</v>
          </cell>
        </row>
        <row r="34">
          <cell r="C34">
            <v>294</v>
          </cell>
          <cell r="D34">
            <v>1739</v>
          </cell>
          <cell r="J34">
            <v>0</v>
          </cell>
          <cell r="K34">
            <v>0</v>
          </cell>
        </row>
        <row r="35">
          <cell r="C35">
            <v>1</v>
          </cell>
          <cell r="D35">
            <v>14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15</v>
          </cell>
          <cell r="D39">
            <v>75</v>
          </cell>
          <cell r="J39">
            <v>0</v>
          </cell>
          <cell r="K39">
            <v>0</v>
          </cell>
        </row>
        <row r="40">
          <cell r="C40">
            <v>9</v>
          </cell>
          <cell r="D40">
            <v>7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2" refreshError="1"/>
      <sheetData sheetId="3">
        <row r="10">
          <cell r="P10">
            <v>75818</v>
          </cell>
        </row>
        <row r="11">
          <cell r="P11">
            <v>187210</v>
          </cell>
        </row>
        <row r="12">
          <cell r="P12">
            <v>135725</v>
          </cell>
        </row>
        <row r="13">
          <cell r="P13">
            <v>0</v>
          </cell>
        </row>
        <row r="14">
          <cell r="P14">
            <v>57174</v>
          </cell>
        </row>
        <row r="15">
          <cell r="P15">
            <v>26</v>
          </cell>
        </row>
        <row r="16">
          <cell r="P16">
            <v>4496</v>
          </cell>
        </row>
        <row r="17">
          <cell r="P17">
            <v>458938</v>
          </cell>
        </row>
        <row r="20">
          <cell r="P20">
            <v>263303</v>
          </cell>
        </row>
        <row r="26">
          <cell r="P26">
            <v>379162</v>
          </cell>
        </row>
        <row r="33">
          <cell r="P33">
            <v>6632</v>
          </cell>
        </row>
        <row r="34">
          <cell r="P34">
            <v>723</v>
          </cell>
        </row>
        <row r="35">
          <cell r="P35">
            <v>140064</v>
          </cell>
        </row>
        <row r="36">
          <cell r="P36">
            <v>0</v>
          </cell>
        </row>
        <row r="37">
          <cell r="P37">
            <v>236</v>
          </cell>
        </row>
        <row r="38">
          <cell r="P38">
            <v>428</v>
          </cell>
        </row>
        <row r="39">
          <cell r="P39">
            <v>0</v>
          </cell>
        </row>
        <row r="40">
          <cell r="P40">
            <v>30278</v>
          </cell>
        </row>
      </sheetData>
      <sheetData sheetId="4">
        <row r="10">
          <cell r="C10">
            <v>38215</v>
          </cell>
          <cell r="G10">
            <v>34344</v>
          </cell>
          <cell r="K10">
            <v>4192</v>
          </cell>
        </row>
        <row r="11">
          <cell r="C11">
            <v>86334</v>
          </cell>
          <cell r="G11">
            <v>8449</v>
          </cell>
          <cell r="K11">
            <v>17735</v>
          </cell>
        </row>
        <row r="12">
          <cell r="C12">
            <v>80314</v>
          </cell>
          <cell r="G12">
            <v>10670</v>
          </cell>
          <cell r="K12">
            <v>0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208</v>
          </cell>
          <cell r="G14">
            <v>0</v>
          </cell>
          <cell r="K14">
            <v>0</v>
          </cell>
        </row>
        <row r="15">
          <cell r="C15">
            <v>16</v>
          </cell>
          <cell r="G15">
            <v>0</v>
          </cell>
          <cell r="K15">
            <v>0</v>
          </cell>
        </row>
        <row r="16">
          <cell r="C16">
            <v>507</v>
          </cell>
          <cell r="G16">
            <v>13</v>
          </cell>
          <cell r="K16">
            <v>0</v>
          </cell>
        </row>
        <row r="17">
          <cell r="C17">
            <v>389385</v>
          </cell>
          <cell r="G17">
            <v>18475</v>
          </cell>
          <cell r="K17">
            <v>0</v>
          </cell>
        </row>
        <row r="20">
          <cell r="C20">
            <v>241960</v>
          </cell>
          <cell r="G20">
            <v>5204</v>
          </cell>
          <cell r="K20">
            <v>0</v>
          </cell>
        </row>
        <row r="26">
          <cell r="C26">
            <v>240957</v>
          </cell>
          <cell r="G26">
            <v>234591</v>
          </cell>
          <cell r="K26">
            <v>0</v>
          </cell>
        </row>
        <row r="33">
          <cell r="C33">
            <v>34</v>
          </cell>
          <cell r="G33">
            <v>0</v>
          </cell>
          <cell r="K33">
            <v>0</v>
          </cell>
        </row>
        <row r="34">
          <cell r="C34">
            <v>489</v>
          </cell>
          <cell r="G34">
            <v>0</v>
          </cell>
          <cell r="K34">
            <v>0</v>
          </cell>
        </row>
        <row r="35">
          <cell r="C35">
            <v>113937</v>
          </cell>
          <cell r="G35">
            <v>4182</v>
          </cell>
          <cell r="K35">
            <v>0</v>
          </cell>
        </row>
        <row r="36">
          <cell r="C36">
            <v>0</v>
          </cell>
          <cell r="G36">
            <v>0</v>
          </cell>
          <cell r="K36">
            <v>0</v>
          </cell>
        </row>
        <row r="37">
          <cell r="C37">
            <v>242</v>
          </cell>
          <cell r="G37">
            <v>0</v>
          </cell>
          <cell r="K37">
            <v>0</v>
          </cell>
        </row>
        <row r="38">
          <cell r="C38">
            <v>287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12923</v>
          </cell>
          <cell r="G40">
            <v>1871</v>
          </cell>
          <cell r="K40">
            <v>2379</v>
          </cell>
        </row>
        <row r="41">
          <cell r="C41">
            <v>1205808</v>
          </cell>
          <cell r="D41">
            <v>11932</v>
          </cell>
          <cell r="E41">
            <v>365120</v>
          </cell>
          <cell r="G41">
            <v>317799</v>
          </cell>
          <cell r="I41">
            <v>9196</v>
          </cell>
          <cell r="K41">
            <v>24306</v>
          </cell>
          <cell r="M41">
            <v>0</v>
          </cell>
        </row>
      </sheetData>
      <sheetData sheetId="5">
        <row r="9">
          <cell r="C9">
            <v>164256</v>
          </cell>
          <cell r="D9">
            <v>1731609.68</v>
          </cell>
        </row>
        <row r="18">
          <cell r="C18">
            <v>30545</v>
          </cell>
          <cell r="D18">
            <v>324679.7</v>
          </cell>
          <cell r="E18">
            <v>76906.59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25090</v>
          </cell>
          <cell r="D20">
            <v>12204.71</v>
          </cell>
          <cell r="E20">
            <v>3934.52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6408</v>
          </cell>
          <cell r="D29">
            <v>71185.990000000005</v>
          </cell>
          <cell r="E29">
            <v>13864.58</v>
          </cell>
        </row>
        <row r="38">
          <cell r="C38">
            <v>131</v>
          </cell>
          <cell r="D38">
            <v>634.70000000000005</v>
          </cell>
          <cell r="E38">
            <v>226.3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77551</v>
          </cell>
          <cell r="D10">
            <v>33914.160000000003</v>
          </cell>
          <cell r="F10">
            <v>486</v>
          </cell>
          <cell r="G10">
            <v>9256.91</v>
          </cell>
          <cell r="H10">
            <v>118</v>
          </cell>
          <cell r="I10">
            <v>2855.57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1354</v>
          </cell>
          <cell r="D24">
            <v>25942.55</v>
          </cell>
          <cell r="F24">
            <v>172</v>
          </cell>
          <cell r="G24">
            <v>13274.39</v>
          </cell>
          <cell r="H24">
            <v>147</v>
          </cell>
          <cell r="I24">
            <v>8727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1195</v>
          </cell>
          <cell r="D40">
            <v>4271.54</v>
          </cell>
          <cell r="F40">
            <v>5</v>
          </cell>
          <cell r="G40">
            <v>206.46</v>
          </cell>
          <cell r="H40">
            <v>18</v>
          </cell>
          <cell r="I40">
            <v>641.82000000000005</v>
          </cell>
        </row>
        <row r="56">
          <cell r="C56">
            <v>767</v>
          </cell>
          <cell r="D56">
            <v>2256.8200000000002</v>
          </cell>
          <cell r="F56">
            <v>5</v>
          </cell>
          <cell r="G56">
            <v>654.32000000000005</v>
          </cell>
          <cell r="H56">
            <v>12</v>
          </cell>
          <cell r="I56">
            <v>377.21</v>
          </cell>
        </row>
        <row r="88">
          <cell r="C88">
            <v>130391</v>
          </cell>
          <cell r="D88">
            <v>688972.1</v>
          </cell>
          <cell r="F88">
            <v>3621</v>
          </cell>
          <cell r="G88">
            <v>233266.43</v>
          </cell>
          <cell r="H88">
            <v>2846</v>
          </cell>
          <cell r="I88">
            <v>199733.85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400</v>
          </cell>
          <cell r="D132">
            <v>846.35</v>
          </cell>
          <cell r="F132">
            <v>2</v>
          </cell>
          <cell r="G132">
            <v>90.81</v>
          </cell>
          <cell r="H132">
            <v>4</v>
          </cell>
          <cell r="I132">
            <v>70.069999999999993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11386</v>
          </cell>
          <cell r="D170">
            <v>6379.05</v>
          </cell>
          <cell r="F170">
            <v>78</v>
          </cell>
          <cell r="G170">
            <v>1304.1600000000001</v>
          </cell>
          <cell r="H170">
            <v>95</v>
          </cell>
          <cell r="I170">
            <v>1401.88</v>
          </cell>
        </row>
        <row r="175">
          <cell r="C175">
            <v>144082</v>
          </cell>
        </row>
      </sheetData>
      <sheetData sheetId="2">
        <row r="11">
          <cell r="C11">
            <v>74576</v>
          </cell>
          <cell r="D11">
            <v>423457.29</v>
          </cell>
          <cell r="J11">
            <v>3140</v>
          </cell>
          <cell r="K11">
            <v>181929.29</v>
          </cell>
        </row>
        <row r="12">
          <cell r="C12">
            <v>5908</v>
          </cell>
          <cell r="D12">
            <v>62271</v>
          </cell>
          <cell r="J12">
            <v>257</v>
          </cell>
          <cell r="K12">
            <v>13615.98</v>
          </cell>
        </row>
        <row r="13">
          <cell r="C13">
            <v>244</v>
          </cell>
          <cell r="D13">
            <v>5600.06</v>
          </cell>
          <cell r="J13">
            <v>30</v>
          </cell>
          <cell r="K13">
            <v>2718.61</v>
          </cell>
        </row>
        <row r="14">
          <cell r="C14">
            <v>865</v>
          </cell>
          <cell r="D14">
            <v>734.12</v>
          </cell>
          <cell r="J14">
            <v>7</v>
          </cell>
          <cell r="K14">
            <v>328.3</v>
          </cell>
        </row>
        <row r="15">
          <cell r="C15">
            <v>315</v>
          </cell>
          <cell r="D15">
            <v>1401.08</v>
          </cell>
          <cell r="J15">
            <v>12</v>
          </cell>
          <cell r="K15">
            <v>794.51</v>
          </cell>
        </row>
        <row r="16">
          <cell r="C16">
            <v>6075</v>
          </cell>
          <cell r="D16">
            <v>10619.43</v>
          </cell>
          <cell r="J16">
            <v>62</v>
          </cell>
          <cell r="K16">
            <v>5184.1000000000004</v>
          </cell>
        </row>
        <row r="17">
          <cell r="C17">
            <v>1447</v>
          </cell>
          <cell r="D17">
            <v>439.11</v>
          </cell>
          <cell r="J17">
            <v>7</v>
          </cell>
          <cell r="K17">
            <v>372.14</v>
          </cell>
        </row>
        <row r="18">
          <cell r="C18">
            <v>0</v>
          </cell>
          <cell r="D18">
            <v>0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30350</v>
          </cell>
          <cell r="D25">
            <v>134799.81</v>
          </cell>
          <cell r="J25">
            <v>53</v>
          </cell>
          <cell r="K25">
            <v>11386.01</v>
          </cell>
        </row>
        <row r="26">
          <cell r="C26">
            <v>806</v>
          </cell>
          <cell r="D26">
            <v>12797.92</v>
          </cell>
          <cell r="J26">
            <v>37</v>
          </cell>
          <cell r="K26">
            <v>12170.98</v>
          </cell>
        </row>
        <row r="27">
          <cell r="C27">
            <v>93</v>
          </cell>
          <cell r="D27">
            <v>1500.11</v>
          </cell>
          <cell r="J27">
            <v>11</v>
          </cell>
          <cell r="K27">
            <v>4066.71</v>
          </cell>
        </row>
        <row r="28">
          <cell r="C28">
            <v>3</v>
          </cell>
          <cell r="D28">
            <v>16.61</v>
          </cell>
          <cell r="J28">
            <v>0</v>
          </cell>
          <cell r="K28">
            <v>0</v>
          </cell>
        </row>
        <row r="29">
          <cell r="C29">
            <v>15</v>
          </cell>
          <cell r="D29">
            <v>83.04</v>
          </cell>
          <cell r="J29">
            <v>0</v>
          </cell>
          <cell r="K29">
            <v>0</v>
          </cell>
        </row>
        <row r="30">
          <cell r="C30">
            <v>603</v>
          </cell>
          <cell r="D30">
            <v>1053.55</v>
          </cell>
          <cell r="J30">
            <v>2</v>
          </cell>
          <cell r="K30">
            <v>186.58</v>
          </cell>
        </row>
        <row r="31">
          <cell r="C31">
            <v>754</v>
          </cell>
          <cell r="D31">
            <v>3854.75</v>
          </cell>
          <cell r="J31">
            <v>3</v>
          </cell>
          <cell r="K31">
            <v>513.22</v>
          </cell>
        </row>
        <row r="32">
          <cell r="C32">
            <v>3</v>
          </cell>
          <cell r="D32">
            <v>16.61</v>
          </cell>
          <cell r="J32">
            <v>0</v>
          </cell>
          <cell r="K32">
            <v>0</v>
          </cell>
        </row>
        <row r="34">
          <cell r="C34">
            <v>8269</v>
          </cell>
          <cell r="D34">
            <v>29126.18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27131</v>
          </cell>
        </row>
        <row r="11">
          <cell r="P11">
            <v>0</v>
          </cell>
        </row>
        <row r="12">
          <cell r="P12">
            <v>20754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3417</v>
          </cell>
        </row>
        <row r="20">
          <cell r="P20">
            <v>1806</v>
          </cell>
        </row>
        <row r="26">
          <cell r="P26">
            <v>483121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677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5103</v>
          </cell>
        </row>
      </sheetData>
      <sheetData sheetId="5">
        <row r="10">
          <cell r="C10">
            <v>18502.96</v>
          </cell>
          <cell r="G10">
            <v>6472.99</v>
          </cell>
          <cell r="K10">
            <v>0</v>
          </cell>
        </row>
        <row r="11">
          <cell r="C11">
            <v>0</v>
          </cell>
          <cell r="G11">
            <v>0</v>
          </cell>
          <cell r="K11">
            <v>0</v>
          </cell>
        </row>
        <row r="12">
          <cell r="C12">
            <v>14199.23</v>
          </cell>
          <cell r="G12">
            <v>76.73</v>
          </cell>
          <cell r="K12">
            <v>1041.5899999999999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0</v>
          </cell>
          <cell r="G14">
            <v>0</v>
          </cell>
          <cell r="K14">
            <v>0</v>
          </cell>
        </row>
        <row r="15">
          <cell r="C15">
            <v>0</v>
          </cell>
          <cell r="G15">
            <v>0</v>
          </cell>
          <cell r="K15">
            <v>0</v>
          </cell>
        </row>
        <row r="16">
          <cell r="C16">
            <v>0</v>
          </cell>
          <cell r="G16">
            <v>0</v>
          </cell>
          <cell r="K16">
            <v>0</v>
          </cell>
        </row>
        <row r="17">
          <cell r="C17">
            <v>2138.31</v>
          </cell>
          <cell r="G17">
            <v>40.21</v>
          </cell>
          <cell r="K17">
            <v>0</v>
          </cell>
        </row>
        <row r="20">
          <cell r="C20">
            <v>1189.3599999999999</v>
          </cell>
          <cell r="G20">
            <v>40.21</v>
          </cell>
          <cell r="K20">
            <v>0</v>
          </cell>
        </row>
        <row r="26">
          <cell r="C26">
            <v>339421.55</v>
          </cell>
          <cell r="G26">
            <v>151778.18</v>
          </cell>
          <cell r="K26">
            <v>0</v>
          </cell>
        </row>
        <row r="33">
          <cell r="C33">
            <v>0</v>
          </cell>
          <cell r="G33">
            <v>0</v>
          </cell>
          <cell r="K33">
            <v>0</v>
          </cell>
        </row>
        <row r="34">
          <cell r="C34">
            <v>0</v>
          </cell>
          <cell r="G34">
            <v>0</v>
          </cell>
          <cell r="K34">
            <v>0</v>
          </cell>
        </row>
        <row r="35">
          <cell r="C35">
            <v>377.82</v>
          </cell>
          <cell r="G35">
            <v>185.01</v>
          </cell>
          <cell r="K35">
            <v>0</v>
          </cell>
        </row>
        <row r="36">
          <cell r="C36">
            <v>0</v>
          </cell>
          <cell r="G36">
            <v>0</v>
          </cell>
          <cell r="K36">
            <v>0</v>
          </cell>
        </row>
        <row r="37">
          <cell r="C37">
            <v>0</v>
          </cell>
          <cell r="G37">
            <v>0</v>
          </cell>
          <cell r="K37">
            <v>0</v>
          </cell>
        </row>
        <row r="38">
          <cell r="C38">
            <v>0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1060.45</v>
          </cell>
          <cell r="G40">
            <v>920.23</v>
          </cell>
          <cell r="K40">
            <v>0</v>
          </cell>
        </row>
        <row r="41">
          <cell r="C41">
            <v>376889.68</v>
          </cell>
          <cell r="D41">
            <v>0</v>
          </cell>
          <cell r="E41">
            <v>213807.4</v>
          </cell>
          <cell r="G41">
            <v>159513.56</v>
          </cell>
          <cell r="I41">
            <v>2652.78</v>
          </cell>
          <cell r="K41">
            <v>1041.5899999999999</v>
          </cell>
          <cell r="M41">
            <v>0</v>
          </cell>
        </row>
      </sheetData>
      <sheetData sheetId="6">
        <row r="9">
          <cell r="C9">
            <v>389</v>
          </cell>
          <cell r="D9">
            <v>2140</v>
          </cell>
        </row>
        <row r="18">
          <cell r="C18">
            <v>84807</v>
          </cell>
          <cell r="D18">
            <v>444532</v>
          </cell>
          <cell r="E18">
            <v>144559</v>
          </cell>
        </row>
        <row r="19">
          <cell r="C19">
            <v>1643</v>
          </cell>
          <cell r="D19">
            <v>9367</v>
          </cell>
          <cell r="E19">
            <v>3278</v>
          </cell>
        </row>
        <row r="20">
          <cell r="C20">
            <v>496</v>
          </cell>
          <cell r="D20">
            <v>223</v>
          </cell>
          <cell r="E20">
            <v>75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56747</v>
          </cell>
          <cell r="D29">
            <v>306320</v>
          </cell>
          <cell r="E29">
            <v>86783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DEC_SP - #6"/>
    </sheetNames>
    <sheetDataSet>
      <sheetData sheetId="0" refreshError="1"/>
      <sheetData sheetId="1">
        <row r="10">
          <cell r="C10">
            <v>111930</v>
          </cell>
          <cell r="D10">
            <v>68077</v>
          </cell>
          <cell r="F10">
            <v>764</v>
          </cell>
          <cell r="G10">
            <v>28436</v>
          </cell>
          <cell r="H10">
            <v>31</v>
          </cell>
          <cell r="I10">
            <v>1549</v>
          </cell>
        </row>
        <row r="20">
          <cell r="C20">
            <v>929</v>
          </cell>
          <cell r="D20">
            <v>166081</v>
          </cell>
          <cell r="F20">
            <v>7146</v>
          </cell>
          <cell r="G20">
            <v>87017</v>
          </cell>
          <cell r="H20">
            <v>43</v>
          </cell>
          <cell r="I20">
            <v>319</v>
          </cell>
        </row>
        <row r="24">
          <cell r="C24">
            <v>4222</v>
          </cell>
          <cell r="D24">
            <v>133620</v>
          </cell>
          <cell r="F24">
            <v>641</v>
          </cell>
          <cell r="G24">
            <v>53847</v>
          </cell>
          <cell r="H24">
            <v>226</v>
          </cell>
          <cell r="I24">
            <v>10658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1</v>
          </cell>
          <cell r="D30">
            <v>4698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3</v>
          </cell>
          <cell r="D33">
            <v>66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186</v>
          </cell>
          <cell r="D36">
            <v>14488</v>
          </cell>
          <cell r="F36">
            <v>11</v>
          </cell>
          <cell r="G36">
            <v>163</v>
          </cell>
          <cell r="H36">
            <v>2</v>
          </cell>
          <cell r="I36">
            <v>56</v>
          </cell>
        </row>
        <row r="40">
          <cell r="C40">
            <v>5820</v>
          </cell>
          <cell r="D40">
            <v>63265</v>
          </cell>
          <cell r="F40">
            <v>24</v>
          </cell>
          <cell r="G40">
            <v>14799</v>
          </cell>
          <cell r="H40">
            <v>8</v>
          </cell>
          <cell r="I40">
            <v>12394</v>
          </cell>
        </row>
        <row r="56">
          <cell r="C56">
            <v>3143</v>
          </cell>
          <cell r="D56">
            <v>206762</v>
          </cell>
          <cell r="F56">
            <v>346</v>
          </cell>
          <cell r="G56">
            <v>58345</v>
          </cell>
          <cell r="H56">
            <v>32</v>
          </cell>
          <cell r="I56">
            <v>22320</v>
          </cell>
        </row>
        <row r="88">
          <cell r="C88">
            <v>196980</v>
          </cell>
          <cell r="D88">
            <v>1119900</v>
          </cell>
          <cell r="F88">
            <v>5708</v>
          </cell>
          <cell r="G88">
            <v>409096</v>
          </cell>
          <cell r="H88">
            <v>1248</v>
          </cell>
          <cell r="I88">
            <v>133355</v>
          </cell>
        </row>
        <row r="124">
          <cell r="C124">
            <v>1</v>
          </cell>
          <cell r="D124">
            <v>420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171</v>
          </cell>
          <cell r="D128">
            <v>758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2767</v>
          </cell>
          <cell r="D132">
            <v>51388</v>
          </cell>
          <cell r="F132">
            <v>13</v>
          </cell>
          <cell r="G132">
            <v>1868</v>
          </cell>
          <cell r="H132">
            <v>31</v>
          </cell>
          <cell r="I132">
            <v>20507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25</v>
          </cell>
          <cell r="D161">
            <v>12757</v>
          </cell>
          <cell r="F161">
            <v>1</v>
          </cell>
          <cell r="G161">
            <v>294</v>
          </cell>
          <cell r="H161">
            <v>2</v>
          </cell>
          <cell r="I161">
            <v>3100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52305</v>
          </cell>
          <cell r="D170">
            <v>26742</v>
          </cell>
          <cell r="F170">
            <v>322</v>
          </cell>
          <cell r="G170">
            <v>6968</v>
          </cell>
          <cell r="H170">
            <v>30</v>
          </cell>
          <cell r="I170">
            <v>726</v>
          </cell>
        </row>
        <row r="175">
          <cell r="C175">
            <v>260296</v>
          </cell>
        </row>
      </sheetData>
      <sheetData sheetId="2">
        <row r="11">
          <cell r="C11">
            <v>114778</v>
          </cell>
          <cell r="D11">
            <v>670052</v>
          </cell>
          <cell r="J11">
            <v>4727</v>
          </cell>
          <cell r="K11">
            <v>303383</v>
          </cell>
        </row>
        <row r="12">
          <cell r="C12">
            <v>12680</v>
          </cell>
          <cell r="D12">
            <v>132636</v>
          </cell>
          <cell r="J12">
            <v>565</v>
          </cell>
          <cell r="K12">
            <v>36437</v>
          </cell>
        </row>
        <row r="13">
          <cell r="C13">
            <v>673</v>
          </cell>
          <cell r="D13">
            <v>16930</v>
          </cell>
          <cell r="J13">
            <v>96</v>
          </cell>
          <cell r="K13">
            <v>13230</v>
          </cell>
        </row>
        <row r="14">
          <cell r="C14">
            <v>1229</v>
          </cell>
          <cell r="D14">
            <v>1015</v>
          </cell>
          <cell r="J14">
            <v>9</v>
          </cell>
          <cell r="K14">
            <v>1949</v>
          </cell>
        </row>
        <row r="15">
          <cell r="C15">
            <v>92</v>
          </cell>
          <cell r="D15">
            <v>322</v>
          </cell>
          <cell r="J15">
            <v>3</v>
          </cell>
          <cell r="K15">
            <v>295</v>
          </cell>
        </row>
        <row r="16">
          <cell r="C16">
            <v>8287</v>
          </cell>
          <cell r="D16">
            <v>14288</v>
          </cell>
          <cell r="J16">
            <v>70</v>
          </cell>
          <cell r="K16">
            <v>7384</v>
          </cell>
        </row>
        <row r="17">
          <cell r="C17">
            <v>2462</v>
          </cell>
          <cell r="D17">
            <v>764</v>
          </cell>
          <cell r="J17">
            <v>3</v>
          </cell>
          <cell r="K17">
            <v>108</v>
          </cell>
        </row>
        <row r="18">
          <cell r="C18">
            <v>452</v>
          </cell>
          <cell r="D18">
            <v>1723</v>
          </cell>
          <cell r="J18">
            <v>21</v>
          </cell>
          <cell r="K18">
            <v>1609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51305</v>
          </cell>
          <cell r="D25">
            <v>230254</v>
          </cell>
          <cell r="J25">
            <v>118</v>
          </cell>
          <cell r="K25">
            <v>21735</v>
          </cell>
        </row>
        <row r="26">
          <cell r="C26">
            <v>1379</v>
          </cell>
          <cell r="D26">
            <v>23214</v>
          </cell>
          <cell r="J26">
            <v>71</v>
          </cell>
          <cell r="K26">
            <v>14663</v>
          </cell>
        </row>
        <row r="27">
          <cell r="C27">
            <v>201</v>
          </cell>
          <cell r="D27">
            <v>3402</v>
          </cell>
          <cell r="J27">
            <v>12</v>
          </cell>
          <cell r="K27">
            <v>1466</v>
          </cell>
        </row>
        <row r="28">
          <cell r="C28">
            <v>9</v>
          </cell>
          <cell r="D28">
            <v>50</v>
          </cell>
          <cell r="J28">
            <v>0</v>
          </cell>
          <cell r="K28">
            <v>0</v>
          </cell>
        </row>
        <row r="29">
          <cell r="C29">
            <v>35</v>
          </cell>
          <cell r="D29">
            <v>188</v>
          </cell>
          <cell r="J29">
            <v>0</v>
          </cell>
          <cell r="K29">
            <v>0</v>
          </cell>
        </row>
        <row r="30">
          <cell r="C30">
            <v>832</v>
          </cell>
          <cell r="D30">
            <v>1520</v>
          </cell>
          <cell r="J30">
            <v>1</v>
          </cell>
          <cell r="K30">
            <v>44</v>
          </cell>
        </row>
        <row r="31">
          <cell r="C31">
            <v>1356</v>
          </cell>
          <cell r="D31">
            <v>7465</v>
          </cell>
          <cell r="J31">
            <v>3</v>
          </cell>
          <cell r="K31">
            <v>1904</v>
          </cell>
        </row>
        <row r="32">
          <cell r="C32">
            <v>6</v>
          </cell>
          <cell r="D32">
            <v>33</v>
          </cell>
          <cell r="J32">
            <v>0</v>
          </cell>
          <cell r="K32">
            <v>0</v>
          </cell>
        </row>
        <row r="34">
          <cell r="C34">
            <v>796</v>
          </cell>
          <cell r="D34">
            <v>4577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47654</v>
          </cell>
        </row>
        <row r="11">
          <cell r="P11">
            <v>116257</v>
          </cell>
        </row>
        <row r="12">
          <cell r="P12">
            <v>93534</v>
          </cell>
        </row>
        <row r="13">
          <cell r="P13">
            <v>0</v>
          </cell>
        </row>
        <row r="14">
          <cell r="P14">
            <v>3289</v>
          </cell>
        </row>
        <row r="15">
          <cell r="P15">
            <v>46</v>
          </cell>
        </row>
        <row r="16">
          <cell r="P16">
            <v>10142</v>
          </cell>
        </row>
        <row r="17">
          <cell r="P17">
            <v>44286</v>
          </cell>
        </row>
        <row r="20">
          <cell r="P20">
            <v>144733</v>
          </cell>
        </row>
        <row r="26">
          <cell r="P26">
            <v>861427</v>
          </cell>
        </row>
        <row r="33">
          <cell r="P33">
            <v>294</v>
          </cell>
        </row>
        <row r="34">
          <cell r="P34">
            <v>531</v>
          </cell>
        </row>
        <row r="35">
          <cell r="P35">
            <v>35972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8930</v>
          </cell>
        </row>
        <row r="39">
          <cell r="P39">
            <v>0</v>
          </cell>
        </row>
        <row r="40">
          <cell r="P40">
            <v>18719</v>
          </cell>
        </row>
      </sheetData>
      <sheetData sheetId="5">
        <row r="10">
          <cell r="C10">
            <v>29944</v>
          </cell>
          <cell r="G10">
            <v>11756</v>
          </cell>
          <cell r="K10">
            <v>0</v>
          </cell>
        </row>
        <row r="11">
          <cell r="C11">
            <v>69758</v>
          </cell>
          <cell r="G11">
            <v>6920</v>
          </cell>
          <cell r="K11">
            <v>4185</v>
          </cell>
        </row>
        <row r="12">
          <cell r="C12">
            <v>67902</v>
          </cell>
          <cell r="G12">
            <v>8621</v>
          </cell>
          <cell r="K12">
            <v>2716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3784</v>
          </cell>
          <cell r="G14">
            <v>0</v>
          </cell>
          <cell r="K14">
            <v>0</v>
          </cell>
        </row>
        <row r="15">
          <cell r="C15">
            <v>22</v>
          </cell>
          <cell r="G15">
            <v>0</v>
          </cell>
          <cell r="K15">
            <v>0</v>
          </cell>
        </row>
        <row r="16">
          <cell r="C16">
            <v>1192</v>
          </cell>
          <cell r="G16">
            <v>0</v>
          </cell>
          <cell r="K16">
            <v>0</v>
          </cell>
        </row>
        <row r="17">
          <cell r="C17">
            <v>25792</v>
          </cell>
          <cell r="G17">
            <v>4338</v>
          </cell>
          <cell r="K17">
            <v>0</v>
          </cell>
        </row>
        <row r="20">
          <cell r="C20">
            <v>73287</v>
          </cell>
          <cell r="G20">
            <v>7812</v>
          </cell>
          <cell r="K20">
            <v>0</v>
          </cell>
        </row>
        <row r="26">
          <cell r="C26">
            <v>549779</v>
          </cell>
          <cell r="G26">
            <v>300784</v>
          </cell>
          <cell r="K26">
            <v>0</v>
          </cell>
        </row>
        <row r="33">
          <cell r="C33">
            <v>338</v>
          </cell>
          <cell r="G33">
            <v>0</v>
          </cell>
          <cell r="K33">
            <v>0</v>
          </cell>
        </row>
        <row r="34">
          <cell r="C34">
            <v>385</v>
          </cell>
          <cell r="G34">
            <v>0</v>
          </cell>
          <cell r="K34">
            <v>0</v>
          </cell>
        </row>
        <row r="35">
          <cell r="C35">
            <v>18906</v>
          </cell>
          <cell r="G35">
            <v>5189</v>
          </cell>
          <cell r="K35">
            <v>0</v>
          </cell>
        </row>
        <row r="36">
          <cell r="C36">
            <v>0</v>
          </cell>
          <cell r="G36">
            <v>0</v>
          </cell>
          <cell r="K36">
            <v>0</v>
          </cell>
        </row>
        <row r="37">
          <cell r="C37">
            <v>0</v>
          </cell>
          <cell r="G37">
            <v>0</v>
          </cell>
          <cell r="K37">
            <v>0</v>
          </cell>
        </row>
        <row r="38">
          <cell r="C38">
            <v>4110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6079</v>
          </cell>
          <cell r="G40">
            <v>769</v>
          </cell>
          <cell r="K40">
            <v>0</v>
          </cell>
        </row>
        <row r="41">
          <cell r="C41">
            <v>851278</v>
          </cell>
          <cell r="D41">
            <v>32</v>
          </cell>
          <cell r="E41">
            <v>204984</v>
          </cell>
          <cell r="G41">
            <v>346189</v>
          </cell>
          <cell r="I41">
            <v>10472</v>
          </cell>
          <cell r="K41">
            <v>6901</v>
          </cell>
          <cell r="M41">
            <v>0</v>
          </cell>
        </row>
      </sheetData>
      <sheetData sheetId="6">
        <row r="9">
          <cell r="C9">
            <v>22562</v>
          </cell>
          <cell r="D9">
            <v>221301</v>
          </cell>
        </row>
        <row r="18">
          <cell r="C18">
            <v>112039</v>
          </cell>
          <cell r="D18">
            <v>949560</v>
          </cell>
          <cell r="E18">
            <v>266887</v>
          </cell>
        </row>
        <row r="19">
          <cell r="C19">
            <v>20142</v>
          </cell>
          <cell r="D19">
            <v>104553</v>
          </cell>
          <cell r="E19">
            <v>31737</v>
          </cell>
        </row>
        <row r="20">
          <cell r="C20">
            <v>2849</v>
          </cell>
          <cell r="D20">
            <v>1379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13</v>
          </cell>
          <cell r="D22">
            <v>139</v>
          </cell>
          <cell r="E22">
            <v>0</v>
          </cell>
        </row>
        <row r="29">
          <cell r="C29">
            <v>102691</v>
          </cell>
          <cell r="D29">
            <v>592090</v>
          </cell>
          <cell r="E29">
            <v>179112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72556</v>
          </cell>
          <cell r="D10">
            <v>48014</v>
          </cell>
          <cell r="F10">
            <v>478</v>
          </cell>
          <cell r="G10">
            <v>22060</v>
          </cell>
          <cell r="H10">
            <v>70</v>
          </cell>
          <cell r="I10">
            <v>1951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6383</v>
          </cell>
          <cell r="D24">
            <v>142471</v>
          </cell>
          <cell r="F24">
            <v>720</v>
          </cell>
          <cell r="G24">
            <v>65607</v>
          </cell>
          <cell r="H24">
            <v>160</v>
          </cell>
          <cell r="I24">
            <v>20257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5</v>
          </cell>
          <cell r="D30">
            <v>857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15</v>
          </cell>
          <cell r="D33">
            <v>330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191</v>
          </cell>
          <cell r="D36">
            <v>3271.42</v>
          </cell>
          <cell r="F36">
            <v>0</v>
          </cell>
          <cell r="G36">
            <v>0</v>
          </cell>
          <cell r="H36">
            <v>1</v>
          </cell>
          <cell r="I36">
            <v>99</v>
          </cell>
        </row>
        <row r="40">
          <cell r="C40">
            <v>8158</v>
          </cell>
          <cell r="D40">
            <v>72896</v>
          </cell>
          <cell r="F40">
            <v>73</v>
          </cell>
          <cell r="G40">
            <v>7426</v>
          </cell>
          <cell r="H40">
            <v>29</v>
          </cell>
          <cell r="I40">
            <v>19076</v>
          </cell>
        </row>
        <row r="56">
          <cell r="C56">
            <v>3944</v>
          </cell>
          <cell r="D56">
            <v>36555.24</v>
          </cell>
          <cell r="F56">
            <v>132</v>
          </cell>
          <cell r="G56">
            <v>7410</v>
          </cell>
          <cell r="H56">
            <v>20</v>
          </cell>
          <cell r="I56">
            <v>689</v>
          </cell>
        </row>
        <row r="88">
          <cell r="C88">
            <v>109750</v>
          </cell>
          <cell r="D88">
            <v>603400</v>
          </cell>
          <cell r="F88">
            <v>2765</v>
          </cell>
          <cell r="G88">
            <v>203224</v>
          </cell>
          <cell r="H88">
            <v>959</v>
          </cell>
          <cell r="I88">
            <v>165334</v>
          </cell>
        </row>
        <row r="124">
          <cell r="C124">
            <v>70</v>
          </cell>
          <cell r="D124">
            <v>2784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234</v>
          </cell>
          <cell r="D128">
            <v>795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4799</v>
          </cell>
          <cell r="D132">
            <v>27993</v>
          </cell>
          <cell r="F132">
            <v>56</v>
          </cell>
          <cell r="G132">
            <v>4167</v>
          </cell>
          <cell r="H132">
            <v>25</v>
          </cell>
          <cell r="I132">
            <v>5208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34160</v>
          </cell>
          <cell r="D170">
            <v>26762</v>
          </cell>
          <cell r="F170">
            <v>330</v>
          </cell>
          <cell r="G170">
            <v>6395</v>
          </cell>
          <cell r="H170">
            <v>135</v>
          </cell>
          <cell r="I170">
            <v>2642</v>
          </cell>
        </row>
        <row r="175">
          <cell r="C175">
            <v>162390</v>
          </cell>
        </row>
      </sheetData>
      <sheetData sheetId="2">
        <row r="11">
          <cell r="C11">
            <v>64707</v>
          </cell>
          <cell r="D11">
            <v>355875</v>
          </cell>
          <cell r="J11">
            <v>2250</v>
          </cell>
          <cell r="K11">
            <v>130183</v>
          </cell>
        </row>
        <row r="12">
          <cell r="C12">
            <v>6195</v>
          </cell>
          <cell r="D12">
            <v>69782</v>
          </cell>
          <cell r="J12">
            <v>258</v>
          </cell>
          <cell r="K12">
            <v>20682</v>
          </cell>
        </row>
        <row r="13">
          <cell r="C13">
            <v>554</v>
          </cell>
          <cell r="D13">
            <v>11516</v>
          </cell>
          <cell r="J13">
            <v>31</v>
          </cell>
          <cell r="K13">
            <v>1723</v>
          </cell>
        </row>
        <row r="14">
          <cell r="C14">
            <v>1176</v>
          </cell>
          <cell r="D14">
            <v>1025</v>
          </cell>
          <cell r="J14">
            <v>11</v>
          </cell>
          <cell r="K14">
            <v>348</v>
          </cell>
        </row>
        <row r="15">
          <cell r="C15">
            <v>319</v>
          </cell>
          <cell r="D15">
            <v>1090</v>
          </cell>
          <cell r="J15">
            <v>19</v>
          </cell>
          <cell r="K15">
            <v>961</v>
          </cell>
        </row>
        <row r="16">
          <cell r="C16">
            <v>5432</v>
          </cell>
          <cell r="D16">
            <v>8460</v>
          </cell>
          <cell r="J16">
            <v>29</v>
          </cell>
          <cell r="K16">
            <v>2410</v>
          </cell>
        </row>
        <row r="17">
          <cell r="C17">
            <v>1842</v>
          </cell>
          <cell r="D17">
            <v>598</v>
          </cell>
          <cell r="J17">
            <v>3</v>
          </cell>
          <cell r="K17">
            <v>64</v>
          </cell>
        </row>
        <row r="18">
          <cell r="C18">
            <v>426</v>
          </cell>
          <cell r="D18">
            <v>1871</v>
          </cell>
          <cell r="J18">
            <v>50</v>
          </cell>
          <cell r="K18">
            <v>3289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25850</v>
          </cell>
          <cell r="D25">
            <v>117480</v>
          </cell>
          <cell r="J25">
            <v>54</v>
          </cell>
          <cell r="K25">
            <v>19365</v>
          </cell>
        </row>
        <row r="26">
          <cell r="C26">
            <v>1044</v>
          </cell>
          <cell r="D26">
            <v>16315</v>
          </cell>
          <cell r="J26">
            <v>53</v>
          </cell>
          <cell r="K26">
            <v>22718</v>
          </cell>
        </row>
        <row r="27">
          <cell r="C27">
            <v>122</v>
          </cell>
          <cell r="D27">
            <v>1932</v>
          </cell>
          <cell r="J27">
            <v>3</v>
          </cell>
          <cell r="K27">
            <v>278</v>
          </cell>
        </row>
        <row r="28">
          <cell r="C28">
            <v>2</v>
          </cell>
          <cell r="D28">
            <v>34</v>
          </cell>
          <cell r="J28">
            <v>0</v>
          </cell>
          <cell r="K28">
            <v>0</v>
          </cell>
        </row>
        <row r="29">
          <cell r="C29">
            <v>20</v>
          </cell>
          <cell r="D29">
            <v>105</v>
          </cell>
          <cell r="J29">
            <v>0</v>
          </cell>
          <cell r="K29">
            <v>0</v>
          </cell>
        </row>
        <row r="30">
          <cell r="C30">
            <v>459</v>
          </cell>
          <cell r="D30">
            <v>807</v>
          </cell>
          <cell r="J30">
            <v>0</v>
          </cell>
          <cell r="K30">
            <v>0</v>
          </cell>
        </row>
        <row r="31">
          <cell r="C31">
            <v>1007</v>
          </cell>
          <cell r="D31">
            <v>5227</v>
          </cell>
          <cell r="J31">
            <v>1</v>
          </cell>
          <cell r="K31">
            <v>96</v>
          </cell>
        </row>
        <row r="32">
          <cell r="C32">
            <v>3</v>
          </cell>
          <cell r="D32">
            <v>17</v>
          </cell>
          <cell r="J32">
            <v>0</v>
          </cell>
          <cell r="K32">
            <v>0</v>
          </cell>
        </row>
        <row r="34">
          <cell r="C34">
            <v>155</v>
          </cell>
          <cell r="D34">
            <v>977</v>
          </cell>
          <cell r="J34">
            <v>1</v>
          </cell>
          <cell r="K34">
            <v>15</v>
          </cell>
        </row>
        <row r="35">
          <cell r="C35">
            <v>2</v>
          </cell>
          <cell r="D35">
            <v>22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10</v>
          </cell>
          <cell r="D39">
            <v>58</v>
          </cell>
          <cell r="J39">
            <v>0</v>
          </cell>
          <cell r="K39">
            <v>0</v>
          </cell>
        </row>
        <row r="40">
          <cell r="C40">
            <v>7</v>
          </cell>
          <cell r="D40">
            <v>7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34439</v>
          </cell>
        </row>
        <row r="11">
          <cell r="P11">
            <v>0</v>
          </cell>
        </row>
        <row r="12">
          <cell r="P12">
            <v>90934</v>
          </cell>
        </row>
        <row r="13">
          <cell r="P13">
            <v>0</v>
          </cell>
        </row>
        <row r="14">
          <cell r="P14">
            <v>600</v>
          </cell>
        </row>
        <row r="15">
          <cell r="P15">
            <v>231</v>
          </cell>
        </row>
        <row r="16">
          <cell r="P16">
            <v>2223</v>
          </cell>
        </row>
        <row r="17">
          <cell r="P17">
            <v>47382</v>
          </cell>
        </row>
        <row r="20">
          <cell r="P20">
            <v>25736</v>
          </cell>
        </row>
        <row r="26">
          <cell r="P26">
            <v>446746</v>
          </cell>
        </row>
        <row r="33">
          <cell r="P33">
            <v>2088</v>
          </cell>
        </row>
        <row r="34">
          <cell r="P34">
            <v>517</v>
          </cell>
        </row>
        <row r="35">
          <cell r="P35">
            <v>19595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14471</v>
          </cell>
        </row>
      </sheetData>
      <sheetData sheetId="5">
        <row r="10">
          <cell r="C10">
            <v>20434</v>
          </cell>
          <cell r="G10">
            <v>10002.18</v>
          </cell>
          <cell r="K10">
            <v>0</v>
          </cell>
        </row>
        <row r="11">
          <cell r="C11">
            <v>0</v>
          </cell>
          <cell r="G11">
            <v>0</v>
          </cell>
          <cell r="K11">
            <v>0</v>
          </cell>
        </row>
        <row r="12">
          <cell r="C12">
            <v>73281</v>
          </cell>
          <cell r="G12">
            <v>10763.1</v>
          </cell>
          <cell r="K12">
            <v>6137.15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243</v>
          </cell>
          <cell r="G14">
            <v>0</v>
          </cell>
          <cell r="K14">
            <v>0</v>
          </cell>
        </row>
        <row r="15">
          <cell r="C15">
            <v>177</v>
          </cell>
          <cell r="G15">
            <v>0</v>
          </cell>
          <cell r="K15">
            <v>0</v>
          </cell>
        </row>
        <row r="16">
          <cell r="C16">
            <v>281.37</v>
          </cell>
          <cell r="G16">
            <v>0</v>
          </cell>
          <cell r="K16">
            <v>0</v>
          </cell>
        </row>
        <row r="17">
          <cell r="C17">
            <v>37257</v>
          </cell>
          <cell r="G17">
            <v>13750.31</v>
          </cell>
          <cell r="K17">
            <v>0</v>
          </cell>
        </row>
        <row r="20">
          <cell r="C20">
            <v>17340.72</v>
          </cell>
          <cell r="G20">
            <v>496.34</v>
          </cell>
          <cell r="K20">
            <v>0</v>
          </cell>
        </row>
        <row r="26">
          <cell r="C26">
            <v>305748</v>
          </cell>
          <cell r="G26">
            <v>260990</v>
          </cell>
          <cell r="K26">
            <v>0</v>
          </cell>
        </row>
        <row r="33">
          <cell r="C33">
            <v>1522</v>
          </cell>
          <cell r="G33">
            <v>0</v>
          </cell>
          <cell r="K33">
            <v>0</v>
          </cell>
        </row>
        <row r="34">
          <cell r="C34">
            <v>384</v>
          </cell>
          <cell r="G34">
            <v>0</v>
          </cell>
          <cell r="K34">
            <v>0</v>
          </cell>
        </row>
        <row r="35">
          <cell r="C35">
            <v>13553</v>
          </cell>
          <cell r="G35">
            <v>10986.27</v>
          </cell>
          <cell r="K35">
            <v>0</v>
          </cell>
        </row>
        <row r="36">
          <cell r="C36">
            <v>0</v>
          </cell>
          <cell r="G36">
            <v>0</v>
          </cell>
          <cell r="K36">
            <v>0</v>
          </cell>
        </row>
        <row r="37">
          <cell r="C37">
            <v>0</v>
          </cell>
          <cell r="G37">
            <v>0</v>
          </cell>
          <cell r="K37">
            <v>0</v>
          </cell>
        </row>
        <row r="38">
          <cell r="C38">
            <v>0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6447</v>
          </cell>
          <cell r="G40">
            <v>5026.38</v>
          </cell>
          <cell r="K40">
            <v>0</v>
          </cell>
        </row>
        <row r="41">
          <cell r="C41">
            <v>476668.09</v>
          </cell>
          <cell r="D41">
            <v>3620.59</v>
          </cell>
          <cell r="E41">
            <v>215256</v>
          </cell>
          <cell r="G41">
            <v>312014.58</v>
          </cell>
          <cell r="I41">
            <v>9661.92</v>
          </cell>
          <cell r="K41">
            <v>6137.15</v>
          </cell>
          <cell r="M41">
            <v>40794.61</v>
          </cell>
        </row>
      </sheetData>
      <sheetData sheetId="6">
        <row r="9">
          <cell r="C9">
            <v>107057</v>
          </cell>
          <cell r="D9">
            <v>628292</v>
          </cell>
        </row>
        <row r="18">
          <cell r="C18">
            <v>35600</v>
          </cell>
          <cell r="D18">
            <v>234217</v>
          </cell>
          <cell r="E18">
            <v>62164.5</v>
          </cell>
        </row>
        <row r="19">
          <cell r="C19">
            <v>4506</v>
          </cell>
          <cell r="D19">
            <v>23208</v>
          </cell>
          <cell r="E19">
            <v>7946.44</v>
          </cell>
        </row>
        <row r="20">
          <cell r="C20">
            <v>1580</v>
          </cell>
          <cell r="D20">
            <v>1092</v>
          </cell>
          <cell r="E20">
            <v>300.01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1422</v>
          </cell>
          <cell r="D22">
            <v>4758</v>
          </cell>
          <cell r="E22">
            <v>0</v>
          </cell>
        </row>
        <row r="29">
          <cell r="C29">
            <v>12225</v>
          </cell>
          <cell r="D29">
            <v>74562</v>
          </cell>
          <cell r="E29">
            <v>14514.03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70078</v>
          </cell>
          <cell r="D10">
            <v>84681.95</v>
          </cell>
          <cell r="F10">
            <v>569</v>
          </cell>
          <cell r="G10">
            <v>28879.45</v>
          </cell>
          <cell r="H10">
            <v>86</v>
          </cell>
          <cell r="I10">
            <v>7063.42</v>
          </cell>
        </row>
        <row r="20">
          <cell r="C20">
            <v>10167</v>
          </cell>
          <cell r="D20">
            <v>152565.09</v>
          </cell>
          <cell r="F20">
            <v>6777</v>
          </cell>
          <cell r="G20">
            <v>72442.59</v>
          </cell>
          <cell r="H20">
            <v>185</v>
          </cell>
          <cell r="I20">
            <v>1816.41</v>
          </cell>
        </row>
        <row r="24">
          <cell r="C24">
            <v>4852</v>
          </cell>
          <cell r="D24">
            <v>148222.07999999999</v>
          </cell>
          <cell r="F24">
            <v>754</v>
          </cell>
          <cell r="G24">
            <v>74963.350000000006</v>
          </cell>
          <cell r="H24">
            <v>154</v>
          </cell>
          <cell r="I24">
            <v>30542.68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3</v>
          </cell>
          <cell r="D33">
            <v>166.74</v>
          </cell>
          <cell r="F33">
            <v>1</v>
          </cell>
          <cell r="G33">
            <v>1854.17</v>
          </cell>
          <cell r="H33">
            <v>0</v>
          </cell>
          <cell r="I33">
            <v>0</v>
          </cell>
        </row>
        <row r="36">
          <cell r="C36">
            <v>237</v>
          </cell>
          <cell r="D36">
            <v>6289.91</v>
          </cell>
          <cell r="F36">
            <v>0</v>
          </cell>
          <cell r="G36">
            <v>0</v>
          </cell>
          <cell r="H36">
            <v>1</v>
          </cell>
          <cell r="I36">
            <v>51.13</v>
          </cell>
        </row>
        <row r="40">
          <cell r="C40">
            <v>11923</v>
          </cell>
          <cell r="D40">
            <v>91422.24</v>
          </cell>
          <cell r="F40">
            <v>36</v>
          </cell>
          <cell r="G40">
            <v>16182.01</v>
          </cell>
          <cell r="H40">
            <v>10</v>
          </cell>
          <cell r="I40">
            <v>2009.11</v>
          </cell>
        </row>
        <row r="56">
          <cell r="C56">
            <v>12316</v>
          </cell>
          <cell r="D56">
            <v>110032.28</v>
          </cell>
          <cell r="F56">
            <v>158</v>
          </cell>
          <cell r="G56">
            <v>5077</v>
          </cell>
          <cell r="H56">
            <v>21</v>
          </cell>
          <cell r="I56">
            <v>2471.21</v>
          </cell>
        </row>
        <row r="88">
          <cell r="C88">
            <v>69296</v>
          </cell>
          <cell r="D88">
            <v>400790.96</v>
          </cell>
          <cell r="F88">
            <v>2011</v>
          </cell>
          <cell r="G88">
            <v>202993.46</v>
          </cell>
          <cell r="H88">
            <v>690</v>
          </cell>
          <cell r="I88">
            <v>183296.64000000001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108</v>
          </cell>
          <cell r="D128">
            <v>490.96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3977</v>
          </cell>
          <cell r="D132">
            <v>53298.080000000002</v>
          </cell>
          <cell r="F132">
            <v>7</v>
          </cell>
          <cell r="G132">
            <v>601.02</v>
          </cell>
          <cell r="H132">
            <v>8</v>
          </cell>
          <cell r="I132">
            <v>7316.72</v>
          </cell>
        </row>
        <row r="153">
          <cell r="C153">
            <v>5156</v>
          </cell>
          <cell r="D153">
            <v>110955.02</v>
          </cell>
          <cell r="F153">
            <v>1</v>
          </cell>
          <cell r="G153">
            <v>27.93</v>
          </cell>
          <cell r="H153">
            <v>0</v>
          </cell>
          <cell r="I153">
            <v>0</v>
          </cell>
        </row>
        <row r="158">
          <cell r="C158">
            <v>5</v>
          </cell>
          <cell r="D158">
            <v>180.81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37</v>
          </cell>
          <cell r="D161">
            <v>16668.11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23216</v>
          </cell>
          <cell r="D170">
            <v>18599.689999999999</v>
          </cell>
          <cell r="F170">
            <v>130</v>
          </cell>
          <cell r="G170">
            <v>3189.91</v>
          </cell>
          <cell r="H170">
            <v>65</v>
          </cell>
          <cell r="I170">
            <v>2012.46</v>
          </cell>
        </row>
        <row r="175">
          <cell r="C175">
            <v>151742</v>
          </cell>
        </row>
      </sheetData>
      <sheetData sheetId="2">
        <row r="11">
          <cell r="C11">
            <v>37287</v>
          </cell>
          <cell r="D11">
            <v>215331.77</v>
          </cell>
          <cell r="J11">
            <v>1627</v>
          </cell>
          <cell r="K11">
            <v>127624.78</v>
          </cell>
        </row>
        <row r="12">
          <cell r="C12">
            <v>4105</v>
          </cell>
          <cell r="D12">
            <v>48559.28</v>
          </cell>
          <cell r="J12">
            <v>182</v>
          </cell>
          <cell r="K12">
            <v>10524.6</v>
          </cell>
        </row>
        <row r="13">
          <cell r="C13">
            <v>246</v>
          </cell>
          <cell r="D13">
            <v>5218.3999999999996</v>
          </cell>
          <cell r="J13">
            <v>14</v>
          </cell>
          <cell r="K13">
            <v>575.03</v>
          </cell>
        </row>
        <row r="14">
          <cell r="C14">
            <v>572</v>
          </cell>
          <cell r="D14">
            <v>482.15</v>
          </cell>
          <cell r="J14">
            <v>3</v>
          </cell>
          <cell r="K14">
            <v>99.25</v>
          </cell>
        </row>
        <row r="15">
          <cell r="C15">
            <v>36</v>
          </cell>
          <cell r="D15">
            <v>107.76</v>
          </cell>
          <cell r="J15">
            <v>3</v>
          </cell>
          <cell r="K15">
            <v>141.65</v>
          </cell>
        </row>
        <row r="16">
          <cell r="C16">
            <v>2485</v>
          </cell>
          <cell r="D16">
            <v>4123.05</v>
          </cell>
          <cell r="J16">
            <v>18</v>
          </cell>
          <cell r="K16">
            <v>1107.6099999999999</v>
          </cell>
        </row>
        <row r="17">
          <cell r="C17">
            <v>1049</v>
          </cell>
          <cell r="D17">
            <v>321.64999999999998</v>
          </cell>
          <cell r="J17">
            <v>4</v>
          </cell>
          <cell r="K17">
            <v>216.75</v>
          </cell>
        </row>
        <row r="18">
          <cell r="C18">
            <v>124</v>
          </cell>
          <cell r="D18">
            <v>455.13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15712</v>
          </cell>
          <cell r="D25">
            <v>77729.42</v>
          </cell>
          <cell r="J25">
            <v>88</v>
          </cell>
          <cell r="K25">
            <v>41700.699999999997</v>
          </cell>
        </row>
        <row r="26">
          <cell r="C26">
            <v>803</v>
          </cell>
          <cell r="D26">
            <v>13740.08</v>
          </cell>
          <cell r="J26">
            <v>55</v>
          </cell>
          <cell r="K26">
            <v>14450.52</v>
          </cell>
        </row>
        <row r="27">
          <cell r="C27">
            <v>130</v>
          </cell>
          <cell r="D27">
            <v>2221.64</v>
          </cell>
          <cell r="J27">
            <v>8</v>
          </cell>
          <cell r="K27">
            <v>1362.29</v>
          </cell>
        </row>
        <row r="28">
          <cell r="C28">
            <v>10</v>
          </cell>
          <cell r="D28">
            <v>55.36</v>
          </cell>
          <cell r="J28">
            <v>0</v>
          </cell>
          <cell r="K28">
            <v>0</v>
          </cell>
        </row>
        <row r="29">
          <cell r="C29">
            <v>7</v>
          </cell>
          <cell r="D29">
            <v>38.75</v>
          </cell>
          <cell r="J29">
            <v>0</v>
          </cell>
          <cell r="K29">
            <v>0</v>
          </cell>
        </row>
        <row r="30">
          <cell r="C30">
            <v>249</v>
          </cell>
          <cell r="D30">
            <v>460.65</v>
          </cell>
          <cell r="J30">
            <v>0</v>
          </cell>
          <cell r="K30">
            <v>0</v>
          </cell>
        </row>
        <row r="31">
          <cell r="C31">
            <v>690</v>
          </cell>
          <cell r="D31">
            <v>3808.77</v>
          </cell>
          <cell r="J31">
            <v>1</v>
          </cell>
          <cell r="K31">
            <v>13.59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4534</v>
          </cell>
          <cell r="D34">
            <v>15341.36</v>
          </cell>
          <cell r="J34">
            <v>3</v>
          </cell>
          <cell r="K34">
            <v>366.32</v>
          </cell>
        </row>
        <row r="35">
          <cell r="C35">
            <v>30</v>
          </cell>
          <cell r="D35">
            <v>368.22</v>
          </cell>
          <cell r="J35">
            <v>0</v>
          </cell>
          <cell r="K35">
            <v>0</v>
          </cell>
        </row>
        <row r="36">
          <cell r="C36">
            <v>6</v>
          </cell>
          <cell r="D36">
            <v>102.25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19</v>
          </cell>
          <cell r="D38">
            <v>46.82</v>
          </cell>
          <cell r="J38">
            <v>0</v>
          </cell>
          <cell r="K38">
            <v>0</v>
          </cell>
        </row>
        <row r="39">
          <cell r="C39">
            <v>432</v>
          </cell>
          <cell r="D39">
            <v>1360.32</v>
          </cell>
          <cell r="J39">
            <v>0</v>
          </cell>
          <cell r="K39">
            <v>0</v>
          </cell>
        </row>
        <row r="40">
          <cell r="C40">
            <v>297</v>
          </cell>
          <cell r="D40">
            <v>526.51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60378.23</v>
          </cell>
        </row>
        <row r="11">
          <cell r="P11">
            <v>108321.22</v>
          </cell>
        </row>
        <row r="12">
          <cell r="P12">
            <v>101532.12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138.4</v>
          </cell>
        </row>
        <row r="16">
          <cell r="P16">
            <v>5220.62</v>
          </cell>
        </row>
        <row r="17">
          <cell r="P17">
            <v>53024.89</v>
          </cell>
        </row>
        <row r="20">
          <cell r="P20">
            <v>73721.62</v>
          </cell>
        </row>
        <row r="26">
          <cell r="P26">
            <v>308288.39</v>
          </cell>
        </row>
        <row r="33">
          <cell r="P33">
            <v>0</v>
          </cell>
        </row>
        <row r="34">
          <cell r="P34">
            <v>407.49</v>
          </cell>
        </row>
        <row r="35">
          <cell r="P35">
            <v>42036.19</v>
          </cell>
        </row>
        <row r="36">
          <cell r="P36">
            <v>83216.259999999995</v>
          </cell>
        </row>
        <row r="37">
          <cell r="P37">
            <v>142.6</v>
          </cell>
        </row>
        <row r="38">
          <cell r="P38">
            <v>13146.14</v>
          </cell>
        </row>
        <row r="39">
          <cell r="P39">
            <v>0</v>
          </cell>
        </row>
        <row r="40">
          <cell r="P40">
            <v>11159.81</v>
          </cell>
        </row>
      </sheetData>
      <sheetData sheetId="5">
        <row r="10">
          <cell r="C10">
            <v>41084.86</v>
          </cell>
          <cell r="G10">
            <v>17858.259999999998</v>
          </cell>
          <cell r="K10">
            <v>0</v>
          </cell>
        </row>
        <row r="11">
          <cell r="C11">
            <v>52876.03</v>
          </cell>
          <cell r="G11">
            <v>2208.9299999999998</v>
          </cell>
          <cell r="K11">
            <v>0</v>
          </cell>
        </row>
        <row r="12">
          <cell r="C12">
            <v>80632.12</v>
          </cell>
          <cell r="G12">
            <v>19389.95</v>
          </cell>
          <cell r="K12">
            <v>13179.24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0</v>
          </cell>
          <cell r="G14">
            <v>0</v>
          </cell>
          <cell r="K14">
            <v>0</v>
          </cell>
        </row>
        <row r="15">
          <cell r="C15">
            <v>119.52</v>
          </cell>
          <cell r="G15">
            <v>0</v>
          </cell>
          <cell r="K15">
            <v>0</v>
          </cell>
        </row>
        <row r="16">
          <cell r="C16">
            <v>3041.7</v>
          </cell>
          <cell r="G16">
            <v>288</v>
          </cell>
          <cell r="K16">
            <v>0</v>
          </cell>
        </row>
        <row r="17">
          <cell r="C17">
            <v>41838.639999999999</v>
          </cell>
          <cell r="G17">
            <v>2527.06</v>
          </cell>
          <cell r="K17">
            <v>0</v>
          </cell>
        </row>
        <row r="20">
          <cell r="C20">
            <v>44707.16</v>
          </cell>
          <cell r="G20">
            <v>2971.47</v>
          </cell>
          <cell r="K20">
            <v>0</v>
          </cell>
        </row>
        <row r="26">
          <cell r="C26">
            <v>196054.21</v>
          </cell>
          <cell r="G26">
            <v>199938.44</v>
          </cell>
          <cell r="K26">
            <v>9722.75</v>
          </cell>
        </row>
        <row r="33">
          <cell r="C33">
            <v>0</v>
          </cell>
          <cell r="G33">
            <v>0</v>
          </cell>
          <cell r="K33">
            <v>0</v>
          </cell>
        </row>
        <row r="34">
          <cell r="C34">
            <v>257.14999999999998</v>
          </cell>
          <cell r="G34">
            <v>0</v>
          </cell>
          <cell r="K34">
            <v>0</v>
          </cell>
        </row>
        <row r="35">
          <cell r="C35">
            <v>22634.57</v>
          </cell>
          <cell r="G35">
            <v>1867</v>
          </cell>
          <cell r="K35">
            <v>0</v>
          </cell>
        </row>
        <row r="36">
          <cell r="C36">
            <v>125552.8</v>
          </cell>
          <cell r="G36">
            <v>0</v>
          </cell>
          <cell r="K36">
            <v>0</v>
          </cell>
        </row>
        <row r="37">
          <cell r="C37">
            <v>85.21</v>
          </cell>
          <cell r="G37">
            <v>0</v>
          </cell>
          <cell r="K37">
            <v>0</v>
          </cell>
        </row>
        <row r="38">
          <cell r="C38">
            <v>8253.7199999999993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6085.47</v>
          </cell>
          <cell r="G40">
            <v>863</v>
          </cell>
          <cell r="K40">
            <v>0</v>
          </cell>
        </row>
        <row r="41">
          <cell r="C41">
            <v>623223.16</v>
          </cell>
          <cell r="D41">
            <v>2900.23</v>
          </cell>
          <cell r="E41">
            <v>236579.78</v>
          </cell>
          <cell r="G41">
            <v>247912.11</v>
          </cell>
          <cell r="I41">
            <v>14576.18</v>
          </cell>
          <cell r="K41">
            <v>22901.99</v>
          </cell>
          <cell r="M41">
            <v>0</v>
          </cell>
        </row>
      </sheetData>
      <sheetData sheetId="6">
        <row r="9">
          <cell r="C9">
            <v>7098</v>
          </cell>
          <cell r="D9">
            <v>63100.28</v>
          </cell>
        </row>
        <row r="18">
          <cell r="C18">
            <v>14281</v>
          </cell>
          <cell r="D18">
            <v>164759.93</v>
          </cell>
          <cell r="E18">
            <v>38551.800000000003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148</v>
          </cell>
          <cell r="D20">
            <v>46.29</v>
          </cell>
          <cell r="E20">
            <v>15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55406</v>
          </cell>
          <cell r="D22">
            <v>492766.62</v>
          </cell>
          <cell r="E22">
            <v>55917</v>
          </cell>
        </row>
        <row r="29">
          <cell r="C29">
            <v>74809</v>
          </cell>
          <cell r="D29">
            <v>473690.84</v>
          </cell>
          <cell r="E29">
            <v>1738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workbookViewId="0">
      <selection activeCell="F35" sqref="F35"/>
    </sheetView>
  </sheetViews>
  <sheetFormatPr defaultRowHeight="15" x14ac:dyDescent="0.25"/>
  <cols>
    <col min="1" max="1" width="3.85546875" customWidth="1"/>
    <col min="2" max="2" width="28.28515625" customWidth="1"/>
    <col min="3" max="3" width="11" bestFit="1" customWidth="1"/>
    <col min="4" max="4" width="9.5703125" bestFit="1" customWidth="1"/>
    <col min="8" max="8" width="9.85546875" bestFit="1" customWidth="1"/>
    <col min="10" max="10" width="10.28515625" bestFit="1" customWidth="1"/>
    <col min="14" max="14" width="9.85546875" bestFit="1" customWidth="1"/>
  </cols>
  <sheetData>
    <row r="1" spans="1:14" ht="24.75" customHeight="1" thickBot="1" x14ac:dyDescent="0.3">
      <c r="A1" s="151"/>
      <c r="B1" s="152"/>
      <c r="C1" s="420" t="s">
        <v>97</v>
      </c>
      <c r="D1" s="421"/>
      <c r="E1" s="421"/>
      <c r="F1" s="421"/>
      <c r="G1" s="421"/>
      <c r="H1" s="421"/>
      <c r="I1" s="421"/>
      <c r="J1" s="2"/>
      <c r="K1" s="2"/>
      <c r="L1" s="2"/>
      <c r="M1" s="2"/>
      <c r="N1" s="151" t="s">
        <v>36</v>
      </c>
    </row>
    <row r="2" spans="1:14" x14ac:dyDescent="0.25">
      <c r="A2" s="422" t="s">
        <v>0</v>
      </c>
      <c r="B2" s="424" t="s">
        <v>1</v>
      </c>
      <c r="C2" s="442" t="s">
        <v>2</v>
      </c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34" t="s">
        <v>3</v>
      </c>
    </row>
    <row r="3" spans="1:14" ht="15.75" thickBot="1" x14ac:dyDescent="0.3">
      <c r="A3" s="423"/>
      <c r="B3" s="425"/>
      <c r="C3" s="228" t="s">
        <v>69</v>
      </c>
      <c r="D3" s="227" t="s">
        <v>4</v>
      </c>
      <c r="E3" s="293" t="s">
        <v>5</v>
      </c>
      <c r="F3" s="298" t="s">
        <v>6</v>
      </c>
      <c r="G3" s="308" t="s">
        <v>8</v>
      </c>
      <c r="H3" s="312" t="s">
        <v>94</v>
      </c>
      <c r="I3" s="317" t="s">
        <v>9</v>
      </c>
      <c r="J3" s="316" t="s">
        <v>10</v>
      </c>
      <c r="K3" s="317" t="s">
        <v>93</v>
      </c>
      <c r="L3" s="316" t="s">
        <v>11</v>
      </c>
      <c r="M3" s="321" t="s">
        <v>96</v>
      </c>
      <c r="N3" s="435"/>
    </row>
    <row r="4" spans="1:14" x14ac:dyDescent="0.25">
      <c r="A4" s="5">
        <v>1</v>
      </c>
      <c r="B4" s="9" t="s">
        <v>12</v>
      </c>
      <c r="C4" s="142">
        <f>[1]STA_SP1_NO!$D$10</f>
        <v>144255.67999999999</v>
      </c>
      <c r="D4" s="118">
        <f>[2]STA_SP1_NO!$D$10</f>
        <v>126537</v>
      </c>
      <c r="E4" s="294">
        <f>[3]STA_SP1_NO!$D$10</f>
        <v>47381</v>
      </c>
      <c r="F4" s="297">
        <f>[4]STA_SP1_NO!$D$10</f>
        <v>86519.62</v>
      </c>
      <c r="G4" s="309">
        <f>[5]STA_SP1_NO!$D$10</f>
        <v>103878</v>
      </c>
      <c r="H4" s="313">
        <f>[6]STA_SP1_NO!$D$10</f>
        <v>33914.160000000003</v>
      </c>
      <c r="I4" s="318">
        <f>[7]STA_SP1_NO!$D$10</f>
        <v>68077</v>
      </c>
      <c r="J4" s="118">
        <f>[8]STA_SP1_NO!$D$10</f>
        <v>48014</v>
      </c>
      <c r="K4" s="318">
        <f>[9]STA_SP1_NO!$D$10</f>
        <v>84681.95</v>
      </c>
      <c r="L4" s="144">
        <f>[10]STA_SP1_NO!$D$10</f>
        <v>159205</v>
      </c>
      <c r="M4" s="148">
        <f>[11]STA_SP1_NO!$D$10</f>
        <v>1111.05</v>
      </c>
      <c r="N4" s="229">
        <f t="shared" ref="N4:N22" si="0">SUM(C4:M4)</f>
        <v>903574.46</v>
      </c>
    </row>
    <row r="5" spans="1:14" x14ac:dyDescent="0.25">
      <c r="A5" s="4">
        <v>2</v>
      </c>
      <c r="B5" s="10" t="s">
        <v>13</v>
      </c>
      <c r="C5" s="146">
        <f>[1]STA_SP1_NO!$D$20</f>
        <v>255723.74</v>
      </c>
      <c r="D5" s="118">
        <f>[2]STA_SP1_NO!$D$20</f>
        <v>248843.97</v>
      </c>
      <c r="E5" s="294">
        <f>[3]STA_SP1_NO!$D$20</f>
        <v>17108</v>
      </c>
      <c r="F5" s="296">
        <f>[4]STA_SP1_NO!$D$20</f>
        <v>145900.95000000001</v>
      </c>
      <c r="G5" s="310">
        <f>[5]STA_SP1_NO!$D$20</f>
        <v>222869</v>
      </c>
      <c r="H5" s="313">
        <f>[6]STA_SP1_NO!$D$20</f>
        <v>0</v>
      </c>
      <c r="I5" s="318">
        <f>[7]STA_SP1_NO!$D$20</f>
        <v>166081</v>
      </c>
      <c r="J5" s="118">
        <f>[8]STA_SP1_NO!$D$20</f>
        <v>0</v>
      </c>
      <c r="K5" s="318">
        <f>[9]STA_SP1_NO!$D$20</f>
        <v>152565.09</v>
      </c>
      <c r="L5" s="144">
        <f>[10]STA_SP1_NO!$D$20</f>
        <v>265752</v>
      </c>
      <c r="M5" s="148">
        <f>[11]STA_SP1_NO!$D$20</f>
        <v>0</v>
      </c>
      <c r="N5" s="229">
        <f t="shared" si="0"/>
        <v>1474843.75</v>
      </c>
    </row>
    <row r="6" spans="1:14" x14ac:dyDescent="0.25">
      <c r="A6" s="4">
        <v>3</v>
      </c>
      <c r="B6" s="10" t="s">
        <v>14</v>
      </c>
      <c r="C6" s="146">
        <f>[1]STA_SP1_NO!$D$24</f>
        <v>197678.96</v>
      </c>
      <c r="D6" s="118">
        <f>[2]STA_SP1_NO!$D$24</f>
        <v>197872.28</v>
      </c>
      <c r="E6" s="294">
        <f>[3]STA_SP1_NO!$D$24</f>
        <v>89796</v>
      </c>
      <c r="F6" s="296">
        <f>[4]STA_SP1_NO!$D$24</f>
        <v>273746.31</v>
      </c>
      <c r="G6" s="310">
        <f>[5]STA_SP1_NO!$D$24</f>
        <v>159676</v>
      </c>
      <c r="H6" s="313">
        <f>[6]STA_SP1_NO!$D$24</f>
        <v>25942.55</v>
      </c>
      <c r="I6" s="318">
        <f>[7]STA_SP1_NO!$D$24</f>
        <v>133620</v>
      </c>
      <c r="J6" s="118">
        <f>[8]STA_SP1_NO!$D$24</f>
        <v>142471</v>
      </c>
      <c r="K6" s="318">
        <f>[9]STA_SP1_NO!$D$24</f>
        <v>148222.07999999999</v>
      </c>
      <c r="L6" s="144">
        <f>[10]STA_SP1_NO!$D$24</f>
        <v>139316</v>
      </c>
      <c r="M6" s="148">
        <f>[11]STA_SP1_NO!$D$24</f>
        <v>4120.6899999999996</v>
      </c>
      <c r="N6" s="229">
        <f t="shared" si="0"/>
        <v>1512461.87</v>
      </c>
    </row>
    <row r="7" spans="1:14" x14ac:dyDescent="0.25">
      <c r="A7" s="4">
        <v>4</v>
      </c>
      <c r="B7" s="10" t="s">
        <v>15</v>
      </c>
      <c r="C7" s="146">
        <f>[1]STA_SP1_NO!$D$27</f>
        <v>0</v>
      </c>
      <c r="D7" s="118">
        <f>[2]STA_SP1_NO!$D$27</f>
        <v>0</v>
      </c>
      <c r="E7" s="294">
        <f>[3]STA_SP1_NO!$D$27</f>
        <v>0</v>
      </c>
      <c r="F7" s="296">
        <f>[4]STA_SP1_NO!$D$27</f>
        <v>0</v>
      </c>
      <c r="G7" s="310">
        <f>[5]STA_SP1_NO!$D$27</f>
        <v>0</v>
      </c>
      <c r="H7" s="313">
        <f>[6]STA_SP1_NO!$D$27</f>
        <v>0</v>
      </c>
      <c r="I7" s="318">
        <f>[7]STA_SP1_NO!$D$27</f>
        <v>0</v>
      </c>
      <c r="J7" s="118">
        <f>[8]STA_SP1_NO!$D$27</f>
        <v>0</v>
      </c>
      <c r="K7" s="318">
        <f>[9]STA_SP1_NO!$D$27</f>
        <v>0</v>
      </c>
      <c r="L7" s="144">
        <f>[10]STA_SP1_NO!$D$27</f>
        <v>0</v>
      </c>
      <c r="M7" s="148">
        <f>[11]STA_SP1_NO!$D$27</f>
        <v>0</v>
      </c>
      <c r="N7" s="229">
        <f t="shared" si="0"/>
        <v>0</v>
      </c>
    </row>
    <row r="8" spans="1:14" x14ac:dyDescent="0.25">
      <c r="A8" s="4">
        <v>5</v>
      </c>
      <c r="B8" s="10" t="s">
        <v>16</v>
      </c>
      <c r="C8" s="146">
        <f>[1]STA_SP1_NO!$D$30</f>
        <v>0</v>
      </c>
      <c r="D8" s="118">
        <f>[2]STA_SP1_NO!$D$30</f>
        <v>0</v>
      </c>
      <c r="E8" s="294">
        <f>[3]STA_SP1_NO!$D$30</f>
        <v>0</v>
      </c>
      <c r="F8" s="296">
        <f>[4]STA_SP1_NO!$D$30</f>
        <v>0</v>
      </c>
      <c r="G8" s="310">
        <f>[5]STA_SP1_NO!$D$30</f>
        <v>76232</v>
      </c>
      <c r="H8" s="313">
        <f>[6]STA_SP1_NO!$D$30</f>
        <v>0</v>
      </c>
      <c r="I8" s="318">
        <f>[7]STA_SP1_NO!$D$30</f>
        <v>4698</v>
      </c>
      <c r="J8" s="118">
        <f>[8]STA_SP1_NO!$D$30</f>
        <v>857</v>
      </c>
      <c r="K8" s="318">
        <f>[9]STA_SP1_NO!$D$30</f>
        <v>0</v>
      </c>
      <c r="L8" s="144">
        <f>[10]STA_SP1_NO!$D$30</f>
        <v>16678</v>
      </c>
      <c r="M8" s="148">
        <f>[11]STA_SP1_NO!$D$30</f>
        <v>0</v>
      </c>
      <c r="N8" s="229">
        <f t="shared" si="0"/>
        <v>98465</v>
      </c>
    </row>
    <row r="9" spans="1:14" x14ac:dyDescent="0.25">
      <c r="A9" s="4">
        <v>6</v>
      </c>
      <c r="B9" s="10" t="s">
        <v>17</v>
      </c>
      <c r="C9" s="197">
        <f>[1]STA_SP1_NO!$D$33</f>
        <v>301.77</v>
      </c>
      <c r="D9" s="118">
        <f>[2]STA_SP1_NO!$D$33</f>
        <v>185.1</v>
      </c>
      <c r="E9" s="294">
        <f>[3]STA_SP1_NO!$D$33</f>
        <v>39</v>
      </c>
      <c r="F9" s="296">
        <f>[4]STA_SP1_NO!$D$33</f>
        <v>1088.46</v>
      </c>
      <c r="G9" s="310">
        <f>[5]STA_SP1_NO!$D$33</f>
        <v>31</v>
      </c>
      <c r="H9" s="313">
        <f>[6]STA_SP1_NO!$D$33</f>
        <v>0</v>
      </c>
      <c r="I9" s="318">
        <f>[7]STA_SP1_NO!$D$33</f>
        <v>66</v>
      </c>
      <c r="J9" s="118">
        <f>[8]STA_SP1_NO!$D$33</f>
        <v>330</v>
      </c>
      <c r="K9" s="318">
        <f>[9]STA_SP1_NO!$D$33</f>
        <v>166.74</v>
      </c>
      <c r="L9" s="144">
        <f>[10]STA_SP1_NO!$D$33</f>
        <v>0</v>
      </c>
      <c r="M9" s="148">
        <f>[11]STA_SP1_NO!$D$33</f>
        <v>0</v>
      </c>
      <c r="N9" s="229">
        <f t="shared" si="0"/>
        <v>2208.0699999999997</v>
      </c>
    </row>
    <row r="10" spans="1:14" x14ac:dyDescent="0.25">
      <c r="A10" s="4">
        <v>7</v>
      </c>
      <c r="B10" s="10" t="s">
        <v>18</v>
      </c>
      <c r="C10" s="146">
        <f>[1]STA_SP1_NO!$D$36</f>
        <v>30458.81</v>
      </c>
      <c r="D10" s="118">
        <f>[2]STA_SP1_NO!$D$36</f>
        <v>26714.17</v>
      </c>
      <c r="E10" s="294">
        <f>[3]STA_SP1_NO!$D$36</f>
        <v>18644</v>
      </c>
      <c r="F10" s="296">
        <f>[4]STA_SP1_NO!$D$36</f>
        <v>5366.3</v>
      </c>
      <c r="G10" s="310">
        <f>[5]STA_SP1_NO!$D$36</f>
        <v>5995</v>
      </c>
      <c r="H10" s="313">
        <f>[6]STA_SP1_NO!$D$36</f>
        <v>0</v>
      </c>
      <c r="I10" s="318">
        <f>[7]STA_SP1_NO!$D$36</f>
        <v>14488</v>
      </c>
      <c r="J10" s="118">
        <f>[8]STA_SP1_NO!$D$36</f>
        <v>3271.42</v>
      </c>
      <c r="K10" s="318">
        <f>[9]STA_SP1_NO!$D$36</f>
        <v>6289.91</v>
      </c>
      <c r="L10" s="144">
        <f>[10]STA_SP1_NO!$D$36</f>
        <v>5009</v>
      </c>
      <c r="M10" s="148">
        <f>[11]STA_SP1_NO!$D$36</f>
        <v>0</v>
      </c>
      <c r="N10" s="229">
        <f t="shared" si="0"/>
        <v>116236.61</v>
      </c>
    </row>
    <row r="11" spans="1:14" x14ac:dyDescent="0.25">
      <c r="A11" s="4">
        <v>8</v>
      </c>
      <c r="B11" s="10" t="s">
        <v>19</v>
      </c>
      <c r="C11" s="146">
        <f>[1]STA_SP1_NO!$D$40</f>
        <v>242981.63</v>
      </c>
      <c r="D11" s="118">
        <f>[2]STA_SP1_NO!$D$40</f>
        <v>123780.76</v>
      </c>
      <c r="E11" s="294">
        <f>[3]STA_SP1_NO!$D$40</f>
        <v>59530</v>
      </c>
      <c r="F11" s="296">
        <f>[4]STA_SP1_NO!$D$40</f>
        <v>110379.69</v>
      </c>
      <c r="G11" s="310">
        <f>[5]STA_SP1_NO!$D$40</f>
        <v>540034</v>
      </c>
      <c r="H11" s="313">
        <f>[6]STA_SP1_NO!$D$40</f>
        <v>4271.54</v>
      </c>
      <c r="I11" s="318">
        <f>[7]STA_SP1_NO!$D$40</f>
        <v>63265</v>
      </c>
      <c r="J11" s="118">
        <f>[8]STA_SP1_NO!$D$40</f>
        <v>72896</v>
      </c>
      <c r="K11" s="318">
        <f>[9]STA_SP1_NO!$D$40</f>
        <v>91422.24</v>
      </c>
      <c r="L11" s="144">
        <f>[10]STA_SP1_NO!$D$40</f>
        <v>78756</v>
      </c>
      <c r="M11" s="148">
        <f>[11]STA_SP1_NO!$D$40</f>
        <v>136.37</v>
      </c>
      <c r="N11" s="229">
        <f t="shared" si="0"/>
        <v>1387453.2300000002</v>
      </c>
    </row>
    <row r="12" spans="1:14" x14ac:dyDescent="0.25">
      <c r="A12" s="4">
        <v>9</v>
      </c>
      <c r="B12" s="10" t="s">
        <v>20</v>
      </c>
      <c r="C12" s="146">
        <f>[1]STA_SP1_NO!$D$56</f>
        <v>416953.57</v>
      </c>
      <c r="D12" s="118">
        <f>[2]STA_SP1_NO!$D$56</f>
        <v>241534.05</v>
      </c>
      <c r="E12" s="294">
        <f>[3]STA_SP1_NO!$D$56</f>
        <v>71086</v>
      </c>
      <c r="F12" s="296">
        <f>[4]STA_SP1_NO!$D$56</f>
        <v>191343.04</v>
      </c>
      <c r="G12" s="310">
        <f>[5]STA_SP1_NO!$D$56</f>
        <v>309830</v>
      </c>
      <c r="H12" s="313">
        <f>[6]STA_SP1_NO!$D$56</f>
        <v>2256.8200000000002</v>
      </c>
      <c r="I12" s="318">
        <f>[7]STA_SP1_NO!$D$56</f>
        <v>206762</v>
      </c>
      <c r="J12" s="118">
        <f>[8]STA_SP1_NO!$D$56</f>
        <v>36555.24</v>
      </c>
      <c r="K12" s="318">
        <f>[9]STA_SP1_NO!$D$56</f>
        <v>110032.28</v>
      </c>
      <c r="L12" s="144">
        <f>[10]STA_SP1_NO!$D$56</f>
        <v>109554</v>
      </c>
      <c r="M12" s="148">
        <f>[11]STA_SP1_NO!$D$56</f>
        <v>89.63</v>
      </c>
      <c r="N12" s="229">
        <f t="shared" si="0"/>
        <v>1695996.6300000001</v>
      </c>
    </row>
    <row r="13" spans="1:14" x14ac:dyDescent="0.25">
      <c r="A13" s="4">
        <v>10</v>
      </c>
      <c r="B13" s="10" t="s">
        <v>21</v>
      </c>
      <c r="C13" s="146">
        <f>[1]STA_SP1_NO!$D$88</f>
        <v>875223.5</v>
      </c>
      <c r="D13" s="118">
        <f>[2]STA_SP1_NO!$D$88</f>
        <v>493423.96</v>
      </c>
      <c r="E13" s="294">
        <f>[3]STA_SP1_NO!$D$88</f>
        <v>428070</v>
      </c>
      <c r="F13" s="296">
        <f>[4]STA_SP1_NO!$D$88</f>
        <v>575893.25</v>
      </c>
      <c r="G13" s="310">
        <f>[5]STA_SP1_NO!$D$88</f>
        <v>487397</v>
      </c>
      <c r="H13" s="313">
        <f>[6]STA_SP1_NO!$D$88</f>
        <v>688972.1</v>
      </c>
      <c r="I13" s="318">
        <f>[7]STA_SP1_NO!$D$88</f>
        <v>1119900</v>
      </c>
      <c r="J13" s="118">
        <f>[8]STA_SP1_NO!$D$88</f>
        <v>603400</v>
      </c>
      <c r="K13" s="318">
        <f>[9]STA_SP1_NO!$D$88</f>
        <v>400790.96</v>
      </c>
      <c r="L13" s="144">
        <f>[10]STA_SP1_NO!$D$88</f>
        <v>691160</v>
      </c>
      <c r="M13" s="148">
        <f>[11]STA_SP1_NO!$D$88</f>
        <v>39126.54</v>
      </c>
      <c r="N13" s="229">
        <f t="shared" si="0"/>
        <v>6403357.3100000005</v>
      </c>
    </row>
    <row r="14" spans="1:14" x14ac:dyDescent="0.25">
      <c r="A14" s="4">
        <v>11</v>
      </c>
      <c r="B14" s="10" t="s">
        <v>22</v>
      </c>
      <c r="C14" s="146">
        <f>[1]STA_SP1_NO!$D$124</f>
        <v>57.94</v>
      </c>
      <c r="D14" s="118">
        <f>[2]STA_SP1_NO!$D$124</f>
        <v>474.98</v>
      </c>
      <c r="E14" s="294">
        <f>[3]STA_SP1_NO!$D$124</f>
        <v>0</v>
      </c>
      <c r="F14" s="296">
        <f>[4]STA_SP1_NO!$D$124</f>
        <v>0</v>
      </c>
      <c r="G14" s="310">
        <f>[5]STA_SP1_NO!$D$124</f>
        <v>8843</v>
      </c>
      <c r="H14" s="313">
        <f>[6]STA_SP1_NO!$D$124</f>
        <v>0</v>
      </c>
      <c r="I14" s="318">
        <f>[7]STA_SP1_NO!$D$124</f>
        <v>420</v>
      </c>
      <c r="J14" s="118">
        <f>[8]STA_SP1_NO!$D$124</f>
        <v>2784</v>
      </c>
      <c r="K14" s="318">
        <f>[9]STA_SP1_NO!$D$124</f>
        <v>0</v>
      </c>
      <c r="L14" s="144">
        <f>[10]STA_SP1_NO!$D$124</f>
        <v>2133</v>
      </c>
      <c r="M14" s="148">
        <f>[11]STA_SP1_NO!$D$124</f>
        <v>0</v>
      </c>
      <c r="N14" s="229">
        <f t="shared" si="0"/>
        <v>14712.92</v>
      </c>
    </row>
    <row r="15" spans="1:14" x14ac:dyDescent="0.25">
      <c r="A15" s="4">
        <v>12</v>
      </c>
      <c r="B15" s="10" t="s">
        <v>23</v>
      </c>
      <c r="C15" s="197">
        <f>[1]STA_SP1_NO!$D$128</f>
        <v>838.72</v>
      </c>
      <c r="D15" s="118">
        <f>[2]STA_SP1_NO!$D$128</f>
        <v>343.58</v>
      </c>
      <c r="E15" s="294">
        <f>[3]STA_SP1_NO!$D$128</f>
        <v>95</v>
      </c>
      <c r="F15" s="296">
        <f>[4]STA_SP1_NO!$D$128</f>
        <v>1310.74</v>
      </c>
      <c r="G15" s="310">
        <f>[5]STA_SP1_NO!$D$128</f>
        <v>947</v>
      </c>
      <c r="H15" s="313">
        <f>[6]STA_SP1_NO!$D$128</f>
        <v>0</v>
      </c>
      <c r="I15" s="318">
        <f>[7]STA_SP1_NO!$D$128</f>
        <v>758</v>
      </c>
      <c r="J15" s="118">
        <f>[8]STA_SP1_NO!$D$128</f>
        <v>795</v>
      </c>
      <c r="K15" s="318">
        <f>[9]STA_SP1_NO!$D$128</f>
        <v>490.96</v>
      </c>
      <c r="L15" s="144">
        <f>[10]STA_SP1_NO!$D$128</f>
        <v>247</v>
      </c>
      <c r="M15" s="148">
        <f>[11]STA_SP1_NO!$D$128</f>
        <v>0</v>
      </c>
      <c r="N15" s="229">
        <f t="shared" si="0"/>
        <v>5826</v>
      </c>
    </row>
    <row r="16" spans="1:14" x14ac:dyDescent="0.25">
      <c r="A16" s="4">
        <v>13</v>
      </c>
      <c r="B16" s="10" t="s">
        <v>24</v>
      </c>
      <c r="C16" s="146">
        <f>[1]STA_SP1_NO!$D$132</f>
        <v>64013.14</v>
      </c>
      <c r="D16" s="118">
        <f>[2]STA_SP1_NO!$D$132</f>
        <v>50837.62</v>
      </c>
      <c r="E16" s="294">
        <f>[3]STA_SP1_NO!$D$132</f>
        <v>12692</v>
      </c>
      <c r="F16" s="296">
        <f>[4]STA_SP1_NO!$D$132</f>
        <v>21307.74</v>
      </c>
      <c r="G16" s="310">
        <f>[5]STA_SP1_NO!$D$132</f>
        <v>168752</v>
      </c>
      <c r="H16" s="313">
        <f>[6]STA_SP1_NO!$D$132</f>
        <v>846.35</v>
      </c>
      <c r="I16" s="318">
        <f>[7]STA_SP1_NO!$D$132</f>
        <v>51388</v>
      </c>
      <c r="J16" s="118">
        <f>[8]STA_SP1_NO!$D$132</f>
        <v>27993</v>
      </c>
      <c r="K16" s="318">
        <f>[9]STA_SP1_NO!$D$132</f>
        <v>53298.080000000002</v>
      </c>
      <c r="L16" s="144">
        <f>[10]STA_SP1_NO!$D$132</f>
        <v>22624</v>
      </c>
      <c r="M16" s="148">
        <f>[11]STA_SP1_NO!$D$132</f>
        <v>50.18</v>
      </c>
      <c r="N16" s="229">
        <f t="shared" si="0"/>
        <v>473802.11</v>
      </c>
    </row>
    <row r="17" spans="1:15" x14ac:dyDescent="0.25">
      <c r="A17" s="4">
        <v>14</v>
      </c>
      <c r="B17" s="10" t="s">
        <v>25</v>
      </c>
      <c r="C17" s="146">
        <f>[1]STA_SP1_NO!$D$153</f>
        <v>15901.38</v>
      </c>
      <c r="D17" s="118">
        <f>[2]STA_SP1_NO!$D$153</f>
        <v>63284.44</v>
      </c>
      <c r="E17" s="294">
        <f>[3]STA_SP1_NO!$D$153</f>
        <v>1110</v>
      </c>
      <c r="F17" s="296">
        <f>[4]STA_SP1_NO!$D$153</f>
        <v>13038.24</v>
      </c>
      <c r="G17" s="310">
        <f>[5]STA_SP1_NO!$D$153</f>
        <v>0</v>
      </c>
      <c r="H17" s="313">
        <f>[6]STA_SP1_NO!$D$153</f>
        <v>0</v>
      </c>
      <c r="I17" s="318">
        <f>[7]STA_SP1_NO!$D$153</f>
        <v>0</v>
      </c>
      <c r="J17" s="118">
        <f>[8]STA_SP1_NO!$D$153</f>
        <v>0</v>
      </c>
      <c r="K17" s="318">
        <f>[9]STA_SP1_NO!$D$153</f>
        <v>110955.02</v>
      </c>
      <c r="L17" s="144">
        <f>[10]STA_SP1_NO!$D$153</f>
        <v>7257</v>
      </c>
      <c r="M17" s="148">
        <f>[11]STA_SP1_NO!$D$153</f>
        <v>0</v>
      </c>
      <c r="N17" s="229">
        <f t="shared" si="0"/>
        <v>211546.08000000002</v>
      </c>
    </row>
    <row r="18" spans="1:15" x14ac:dyDescent="0.25">
      <c r="A18" s="4">
        <v>15</v>
      </c>
      <c r="B18" s="10" t="s">
        <v>26</v>
      </c>
      <c r="C18" s="197">
        <f>[1]STA_SP1_NO!$D$158</f>
        <v>0</v>
      </c>
      <c r="D18" s="118">
        <f>[2]STA_SP1_NO!$D$158</f>
        <v>0</v>
      </c>
      <c r="E18" s="294">
        <f>[3]STA_SP1_NO!$D$158</f>
        <v>431</v>
      </c>
      <c r="F18" s="296">
        <f>[4]STA_SP1_NO!$D$158</f>
        <v>0</v>
      </c>
      <c r="G18" s="310">
        <f>[5]STA_SP1_NO!$D$158</f>
        <v>278</v>
      </c>
      <c r="H18" s="313">
        <f>[6]STA_SP1_NO!$D$158</f>
        <v>0</v>
      </c>
      <c r="I18" s="318">
        <f>[7]STA_SP1_NO!$D$158</f>
        <v>0</v>
      </c>
      <c r="J18" s="118">
        <f>[8]STA_SP1_NO!$D$158</f>
        <v>0</v>
      </c>
      <c r="K18" s="318">
        <f>[9]STA_SP1_NO!$D$158</f>
        <v>180.81</v>
      </c>
      <c r="L18" s="144">
        <f>[10]STA_SP1_NO!$D$158</f>
        <v>0</v>
      </c>
      <c r="M18" s="148">
        <f>[11]STA_SP1_NO!$D$158</f>
        <v>0</v>
      </c>
      <c r="N18" s="229">
        <f t="shared" si="0"/>
        <v>889.81</v>
      </c>
    </row>
    <row r="19" spans="1:15" x14ac:dyDescent="0.25">
      <c r="A19" s="4">
        <v>16</v>
      </c>
      <c r="B19" s="10" t="s">
        <v>27</v>
      </c>
      <c r="C19" s="146">
        <f>[1]STA_SP1_NO!$D$161</f>
        <v>10852.53</v>
      </c>
      <c r="D19" s="118">
        <f>[2]STA_SP1_NO!$D$161</f>
        <v>61180.02</v>
      </c>
      <c r="E19" s="294">
        <f>[3]STA_SP1_NO!$D$161</f>
        <v>176</v>
      </c>
      <c r="F19" s="296">
        <f>[4]STA_SP1_NO!$D$161</f>
        <v>8790.51</v>
      </c>
      <c r="G19" s="310">
        <f>[5]STA_SP1_NO!$D$161</f>
        <v>503</v>
      </c>
      <c r="H19" s="313">
        <f>[6]STA_SP1_NO!$D$161</f>
        <v>0</v>
      </c>
      <c r="I19" s="318">
        <f>[7]STA_SP1_NO!$D$161</f>
        <v>12757</v>
      </c>
      <c r="J19" s="118">
        <f>[8]STA_SP1_NO!$D$161</f>
        <v>0</v>
      </c>
      <c r="K19" s="318">
        <f>[9]STA_SP1_NO!$D$161</f>
        <v>16668.11</v>
      </c>
      <c r="L19" s="144">
        <f>[10]STA_SP1_NO!$D$161</f>
        <v>883</v>
      </c>
      <c r="M19" s="148">
        <f>[11]STA_SP1_NO!$D$161</f>
        <v>0</v>
      </c>
      <c r="N19" s="229">
        <f t="shared" si="0"/>
        <v>111810.17</v>
      </c>
    </row>
    <row r="20" spans="1:15" x14ac:dyDescent="0.25">
      <c r="A20" s="4">
        <v>17</v>
      </c>
      <c r="B20" s="10" t="s">
        <v>28</v>
      </c>
      <c r="C20" s="146">
        <f>[1]STA_SP1_NO!$D$167</f>
        <v>0</v>
      </c>
      <c r="D20" s="118">
        <f>[2]STA_SP1_NO!$D$167</f>
        <v>0</v>
      </c>
      <c r="E20" s="294">
        <f>[3]STA_SP1_NO!$D$167</f>
        <v>0</v>
      </c>
      <c r="F20" s="296">
        <f>[4]STA_SP1_NO!$D$167</f>
        <v>0</v>
      </c>
      <c r="G20" s="310">
        <f>[5]STA_SP1_NO!$D$167</f>
        <v>0</v>
      </c>
      <c r="H20" s="313">
        <f>[6]STA_SP1_NO!$D$167</f>
        <v>0</v>
      </c>
      <c r="I20" s="318">
        <f>[7]STA_SP1_NO!$D$167</f>
        <v>0</v>
      </c>
      <c r="J20" s="118">
        <f>[8]STA_SP1_NO!$D$167</f>
        <v>0</v>
      </c>
      <c r="K20" s="318">
        <f>[9]STA_SP1_NO!$D$167</f>
        <v>0</v>
      </c>
      <c r="L20" s="144">
        <f>[10]STA_SP1_NO!$D$167</f>
        <v>1</v>
      </c>
      <c r="M20" s="148">
        <f>[11]STA_SP1_NO!$D$167</f>
        <v>0</v>
      </c>
      <c r="N20" s="229">
        <f t="shared" si="0"/>
        <v>1</v>
      </c>
    </row>
    <row r="21" spans="1:15" ht="15.75" thickBot="1" x14ac:dyDescent="0.3">
      <c r="A21" s="6">
        <v>18</v>
      </c>
      <c r="B21" s="11" t="s">
        <v>29</v>
      </c>
      <c r="C21" s="147">
        <f>[1]STA_SP1_NO!$D$170</f>
        <v>25244.63</v>
      </c>
      <c r="D21" s="118">
        <f>[2]STA_SP1_NO!$D$170</f>
        <v>70741.11</v>
      </c>
      <c r="E21" s="294">
        <f>[3]STA_SP1_NO!$D$170</f>
        <v>12113</v>
      </c>
      <c r="F21" s="299">
        <f>[4]STA_SP1_NO!$D$170</f>
        <v>58891.85</v>
      </c>
      <c r="G21" s="311">
        <f>[5]STA_SP1_NO!$D$170</f>
        <v>55050</v>
      </c>
      <c r="H21" s="314">
        <f>[6]STA_SP1_NO!$D$170</f>
        <v>6379.05</v>
      </c>
      <c r="I21" s="319">
        <f>[7]STA_SP1_NO!$D$170</f>
        <v>26742</v>
      </c>
      <c r="J21" s="315">
        <f>[8]STA_SP1_NO!$D$170</f>
        <v>26762</v>
      </c>
      <c r="K21" s="318">
        <f>[9]STA_SP1_NO!$D$170</f>
        <v>18599.689999999999</v>
      </c>
      <c r="L21" s="301">
        <f>[10]STA_SP1_NO!$D$170</f>
        <v>30739</v>
      </c>
      <c r="M21" s="322">
        <f>[11]STA_SP1_NO!$D$170</f>
        <v>215.23</v>
      </c>
      <c r="N21" s="229">
        <f t="shared" si="0"/>
        <v>331477.56</v>
      </c>
    </row>
    <row r="22" spans="1:15" ht="15.75" thickBot="1" x14ac:dyDescent="0.3">
      <c r="A22" s="7"/>
      <c r="B22" s="19" t="s">
        <v>30</v>
      </c>
      <c r="C22" s="153">
        <f t="shared" ref="C22" si="1">SUM(C4:C21)</f>
        <v>2280486</v>
      </c>
      <c r="D22" s="154">
        <f>SUM(D4:D21)</f>
        <v>1705753.0400000003</v>
      </c>
      <c r="E22" s="153">
        <f>SUM(E4:E21)</f>
        <v>758271</v>
      </c>
      <c r="F22" s="295">
        <f>SUM(F4:F21)</f>
        <v>1493576.7000000002</v>
      </c>
      <c r="G22" s="300">
        <f>SUM(G4:G21)</f>
        <v>2140315</v>
      </c>
      <c r="H22" s="302">
        <f>SUM(H4:H21)</f>
        <v>762582.57</v>
      </c>
      <c r="I22" s="320">
        <f t="shared" ref="I22:M22" si="2">SUM(I4:I21)</f>
        <v>1869022</v>
      </c>
      <c r="J22" s="303">
        <f t="shared" si="2"/>
        <v>966128.66</v>
      </c>
      <c r="K22" s="320">
        <f t="shared" si="2"/>
        <v>1194363.92</v>
      </c>
      <c r="L22" s="303">
        <f t="shared" si="2"/>
        <v>1529314</v>
      </c>
      <c r="M22" s="323">
        <f t="shared" si="2"/>
        <v>44849.69</v>
      </c>
      <c r="N22" s="324">
        <f t="shared" si="0"/>
        <v>14744662.58</v>
      </c>
      <c r="O22" s="304"/>
    </row>
    <row r="23" spans="1:15" ht="15.75" thickBot="1" x14ac:dyDescent="0.3">
      <c r="A23" s="13"/>
      <c r="B23" s="18"/>
      <c r="C23" s="14"/>
      <c r="D23" s="16"/>
      <c r="E23" s="15"/>
      <c r="F23" s="16"/>
      <c r="G23" s="16"/>
      <c r="H23" s="16"/>
      <c r="I23" s="16"/>
      <c r="J23" s="16"/>
      <c r="K23" s="16"/>
      <c r="L23" s="16"/>
      <c r="M23" s="17"/>
      <c r="N23" s="16"/>
      <c r="O23" s="305"/>
    </row>
    <row r="24" spans="1:15" ht="15.75" thickBot="1" x14ac:dyDescent="0.3">
      <c r="A24" s="427" t="s">
        <v>31</v>
      </c>
      <c r="B24" s="428"/>
      <c r="C24" s="23">
        <f>C22/N22</f>
        <v>0.15466518732638235</v>
      </c>
      <c r="D24" s="23">
        <f>D22/N22</f>
        <v>0.11568613596581878</v>
      </c>
      <c r="E24" s="23">
        <f>E22/N22</f>
        <v>5.1426812643955398E-2</v>
      </c>
      <c r="F24" s="82">
        <f>F22/N22</f>
        <v>0.10129609218904216</v>
      </c>
      <c r="G24" s="23">
        <f>G22/N22</f>
        <v>0.14515862864865911</v>
      </c>
      <c r="H24" s="82">
        <f>H22/N22</f>
        <v>5.1719228287691335E-2</v>
      </c>
      <c r="I24" s="23">
        <f>I22/N22</f>
        <v>0.12675922489641672</v>
      </c>
      <c r="J24" s="82">
        <f>J22/N22</f>
        <v>6.5523958568606322E-2</v>
      </c>
      <c r="K24" s="23">
        <f>K22/N22</f>
        <v>8.1003136797451206E-2</v>
      </c>
      <c r="L24" s="82">
        <f>L22/N22</f>
        <v>0.10371983703949908</v>
      </c>
      <c r="M24" s="23">
        <f>M22/N22</f>
        <v>3.0417576364775655E-3</v>
      </c>
      <c r="N24" s="82">
        <f>N22/N22</f>
        <v>1</v>
      </c>
      <c r="O24" s="306"/>
    </row>
    <row r="25" spans="1:15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ht="15.75" thickBot="1" x14ac:dyDescent="0.3">
      <c r="A26" s="422" t="s">
        <v>0</v>
      </c>
      <c r="B26" s="424" t="s">
        <v>1</v>
      </c>
      <c r="C26" s="431" t="s">
        <v>90</v>
      </c>
      <c r="D26" s="432"/>
      <c r="E26" s="432"/>
      <c r="F26" s="432"/>
      <c r="G26" s="432"/>
      <c r="H26" s="433"/>
      <c r="I26" s="429" t="s">
        <v>3</v>
      </c>
      <c r="J26" s="1"/>
      <c r="K26" s="1"/>
      <c r="L26" s="1"/>
      <c r="M26" s="1"/>
      <c r="N26" s="1"/>
    </row>
    <row r="27" spans="1:15" ht="15.75" thickBot="1" x14ac:dyDescent="0.3">
      <c r="A27" s="423"/>
      <c r="B27" s="426"/>
      <c r="C27" s="180" t="s">
        <v>11</v>
      </c>
      <c r="D27" s="181" t="s">
        <v>32</v>
      </c>
      <c r="E27" s="180" t="s">
        <v>7</v>
      </c>
      <c r="F27" s="181" t="s">
        <v>9</v>
      </c>
      <c r="G27" s="182" t="s">
        <v>4</v>
      </c>
      <c r="H27" s="211" t="s">
        <v>95</v>
      </c>
      <c r="I27" s="430"/>
      <c r="J27" s="81"/>
      <c r="K27" s="440" t="s">
        <v>33</v>
      </c>
      <c r="L27" s="441"/>
      <c r="M27" s="232">
        <f>N22</f>
        <v>14744662.58</v>
      </c>
      <c r="N27" s="233">
        <f>M27/M29</f>
        <v>0.82213663029253037</v>
      </c>
    </row>
    <row r="28" spans="1:15" ht="15.75" thickBot="1" x14ac:dyDescent="0.3">
      <c r="A28" s="22">
        <v>19</v>
      </c>
      <c r="B28" s="128" t="s">
        <v>34</v>
      </c>
      <c r="C28" s="187">
        <f>[12]STA_SP1_ZO!$J$51</f>
        <v>937892</v>
      </c>
      <c r="D28" s="209">
        <f>[13]STA_SP1_ZO!$J$51</f>
        <v>537760</v>
      </c>
      <c r="E28" s="187">
        <f>[14]STA_SP1_ZO!$J$51</f>
        <v>642548</v>
      </c>
      <c r="F28" s="186">
        <f>[15]STA_SP1_ZO!$J$51</f>
        <v>358793</v>
      </c>
      <c r="G28" s="187">
        <f>[16]STA_SP1_ZO!$J$51</f>
        <v>666640.78</v>
      </c>
      <c r="H28" s="188">
        <f>[17]STA_SP1_ZO!$J$51</f>
        <v>46268.33</v>
      </c>
      <c r="I28" s="230">
        <f>SUM(C28:H28)</f>
        <v>3189902.1100000003</v>
      </c>
      <c r="J28" s="81"/>
      <c r="K28" s="436" t="s">
        <v>34</v>
      </c>
      <c r="L28" s="437"/>
      <c r="M28" s="234">
        <f>I28</f>
        <v>3189902.1100000003</v>
      </c>
      <c r="N28" s="235">
        <f>M28/M29</f>
        <v>0.1778633697074696</v>
      </c>
    </row>
    <row r="29" spans="1:15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38" t="s">
        <v>3</v>
      </c>
      <c r="L29" s="439"/>
      <c r="M29" s="236">
        <f>M27+M28</f>
        <v>17934564.690000001</v>
      </c>
      <c r="N29" s="237">
        <f>M29/M29</f>
        <v>1</v>
      </c>
    </row>
    <row r="30" spans="1:15" ht="15.75" thickBot="1" x14ac:dyDescent="0.3">
      <c r="A30" s="427" t="s">
        <v>35</v>
      </c>
      <c r="B30" s="428"/>
      <c r="C30" s="23">
        <f>C28/I28</f>
        <v>0.29401905376964682</v>
      </c>
      <c r="D30" s="82">
        <f>D28/I28</f>
        <v>0.1685819757020694</v>
      </c>
      <c r="E30" s="23">
        <f>E28/I28</f>
        <v>0.2014318865728453</v>
      </c>
      <c r="F30" s="82">
        <f>F28/I28</f>
        <v>0.11247774622149767</v>
      </c>
      <c r="G30" s="23">
        <f>G28/I28</f>
        <v>0.20898471395412191</v>
      </c>
      <c r="H30" s="82">
        <f>H28/I28</f>
        <v>1.4504623779818747E-2</v>
      </c>
      <c r="I30" s="231">
        <f>I28/I28</f>
        <v>1</v>
      </c>
      <c r="J30" s="1"/>
      <c r="K30" s="1"/>
      <c r="L30" s="1"/>
      <c r="M30" s="1"/>
      <c r="N30" s="1"/>
    </row>
    <row r="37" spans="8:8" x14ac:dyDescent="0.25">
      <c r="H37" s="198"/>
    </row>
  </sheetData>
  <mergeCells count="14">
    <mergeCell ref="N2:N3"/>
    <mergeCell ref="K28:L28"/>
    <mergeCell ref="K29:L29"/>
    <mergeCell ref="A30:B30"/>
    <mergeCell ref="K27:L27"/>
    <mergeCell ref="C2:M2"/>
    <mergeCell ref="C1:I1"/>
    <mergeCell ref="A2:A3"/>
    <mergeCell ref="B2:B3"/>
    <mergeCell ref="A26:A27"/>
    <mergeCell ref="B26:B27"/>
    <mergeCell ref="A24:B24"/>
    <mergeCell ref="I26:I27"/>
    <mergeCell ref="C26:H26"/>
  </mergeCells>
  <pageMargins left="0.25" right="0.25" top="0.75" bottom="0.75" header="0.3" footer="0.3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K36" sqref="K36"/>
    </sheetView>
  </sheetViews>
  <sheetFormatPr defaultRowHeight="15" x14ac:dyDescent="0.25"/>
  <cols>
    <col min="1" max="1" width="4.5703125" customWidth="1"/>
    <col min="2" max="2" width="21.7109375" customWidth="1"/>
  </cols>
  <sheetData>
    <row r="1" spans="1:15" ht="24.75" customHeight="1" thickBot="1" x14ac:dyDescent="0.3">
      <c r="A1" s="26"/>
      <c r="B1" s="26"/>
      <c r="C1" s="455" t="s">
        <v>106</v>
      </c>
      <c r="D1" s="456"/>
      <c r="E1" s="456"/>
      <c r="F1" s="456"/>
      <c r="G1" s="456"/>
      <c r="H1" s="456"/>
      <c r="I1" s="456"/>
      <c r="J1" s="457"/>
      <c r="K1" s="457"/>
      <c r="L1" s="26"/>
      <c r="M1" s="26"/>
      <c r="N1" s="52"/>
    </row>
    <row r="2" spans="1:15" ht="15.75" thickBot="1" x14ac:dyDescent="0.3">
      <c r="A2" s="458" t="s">
        <v>0</v>
      </c>
      <c r="B2" s="460" t="s">
        <v>1</v>
      </c>
      <c r="C2" s="493" t="s">
        <v>2</v>
      </c>
      <c r="D2" s="494"/>
      <c r="E2" s="494"/>
      <c r="F2" s="494"/>
      <c r="G2" s="494"/>
      <c r="H2" s="494"/>
      <c r="I2" s="494"/>
      <c r="J2" s="494"/>
      <c r="K2" s="494"/>
      <c r="L2" s="494"/>
      <c r="M2" s="495"/>
      <c r="N2" s="505" t="s">
        <v>3</v>
      </c>
    </row>
    <row r="3" spans="1:15" x14ac:dyDescent="0.25">
      <c r="A3" s="497"/>
      <c r="B3" s="499"/>
      <c r="C3" s="524" t="s">
        <v>69</v>
      </c>
      <c r="D3" s="499" t="s">
        <v>4</v>
      </c>
      <c r="E3" s="519" t="s">
        <v>5</v>
      </c>
      <c r="F3" s="460" t="s">
        <v>6</v>
      </c>
      <c r="G3" s="512" t="s">
        <v>8</v>
      </c>
      <c r="H3" s="460" t="s">
        <v>94</v>
      </c>
      <c r="I3" s="501" t="s">
        <v>9</v>
      </c>
      <c r="J3" s="503" t="s">
        <v>10</v>
      </c>
      <c r="K3" s="501" t="s">
        <v>93</v>
      </c>
      <c r="L3" s="460" t="s">
        <v>11</v>
      </c>
      <c r="M3" s="514" t="s">
        <v>96</v>
      </c>
      <c r="N3" s="506"/>
    </row>
    <row r="4" spans="1:15" ht="15.75" thickBot="1" x14ac:dyDescent="0.3">
      <c r="A4" s="498"/>
      <c r="B4" s="500"/>
      <c r="C4" s="526"/>
      <c r="D4" s="498"/>
      <c r="E4" s="498"/>
      <c r="F4" s="498"/>
      <c r="G4" s="513"/>
      <c r="H4" s="461"/>
      <c r="I4" s="502"/>
      <c r="J4" s="504"/>
      <c r="K4" s="502"/>
      <c r="L4" s="461"/>
      <c r="M4" s="515"/>
      <c r="N4" s="507"/>
    </row>
    <row r="5" spans="1:15" x14ac:dyDescent="0.25">
      <c r="A5" s="30">
        <v>1</v>
      </c>
      <c r="B5" s="31" t="s">
        <v>39</v>
      </c>
      <c r="C5" s="62">
        <f>[1]STA_SP2_NO!$C$25</f>
        <v>35570</v>
      </c>
      <c r="D5" s="118">
        <f>[2]STA_SP2_NO!$C$25</f>
        <v>22239</v>
      </c>
      <c r="E5" s="61">
        <f>[3]STA_SP2_NO!$C$25</f>
        <v>12685</v>
      </c>
      <c r="F5" s="118">
        <f>[4]STA_SP2_NO!$C$25</f>
        <v>25340</v>
      </c>
      <c r="G5" s="143">
        <f>[5]STA_SP2_NO!$C$25</f>
        <v>23869</v>
      </c>
      <c r="H5" s="118">
        <f>[6]STA_SP2_NO!$C$25</f>
        <v>30350</v>
      </c>
      <c r="I5" s="143">
        <f>[7]STA_SP2_NO!$C$25</f>
        <v>51305</v>
      </c>
      <c r="J5" s="54">
        <f>[8]STA_SP2_NO!$C$25</f>
        <v>25850</v>
      </c>
      <c r="K5" s="143">
        <f>[9]STA_SP2_NO!$C$25</f>
        <v>15712</v>
      </c>
      <c r="L5" s="387">
        <f>[10]STA_SP2_NO!$C$25</f>
        <v>31299</v>
      </c>
      <c r="M5" s="332">
        <f>[11]STA_SP2_NO!$C$25</f>
        <v>1533</v>
      </c>
      <c r="N5" s="249">
        <f t="shared" ref="N5:N12" si="0">SUM(C5:M5)</f>
        <v>275752</v>
      </c>
    </row>
    <row r="6" spans="1:15" x14ac:dyDescent="0.25">
      <c r="A6" s="32">
        <v>2</v>
      </c>
      <c r="B6" s="33" t="s">
        <v>40</v>
      </c>
      <c r="C6" s="62">
        <f>[1]STA_SP2_NO!$C$26</f>
        <v>1332</v>
      </c>
      <c r="D6" s="118">
        <f>[2]STA_SP2_NO!$C$26</f>
        <v>1387</v>
      </c>
      <c r="E6" s="61">
        <f>[3]STA_SP2_NO!$C$26</f>
        <v>551</v>
      </c>
      <c r="F6" s="118">
        <f>[4]STA_SP2_NO!$C$26</f>
        <v>1408</v>
      </c>
      <c r="G6" s="143">
        <f>[5]STA_SP2_NO!$C$26</f>
        <v>614</v>
      </c>
      <c r="H6" s="118">
        <f>[6]STA_SP2_NO!$C$26</f>
        <v>806</v>
      </c>
      <c r="I6" s="143">
        <f>[7]STA_SP2_NO!$C$26</f>
        <v>1379</v>
      </c>
      <c r="J6" s="54">
        <f>[8]STA_SP2_NO!$C$26</f>
        <v>1044</v>
      </c>
      <c r="K6" s="143">
        <f>[9]STA_SP2_NO!$C$26</f>
        <v>803</v>
      </c>
      <c r="L6" s="387">
        <f>[10]STA_SP2_NO!$C$26</f>
        <v>931</v>
      </c>
      <c r="M6" s="332">
        <f>[11]STA_SP2_NO!$C$26</f>
        <v>60</v>
      </c>
      <c r="N6" s="249">
        <f t="shared" si="0"/>
        <v>10315</v>
      </c>
    </row>
    <row r="7" spans="1:15" x14ac:dyDescent="0.25">
      <c r="A7" s="32">
        <v>3</v>
      </c>
      <c r="B7" s="33" t="s">
        <v>41</v>
      </c>
      <c r="C7" s="62">
        <f>[1]STA_SP2_NO!$C$27</f>
        <v>179</v>
      </c>
      <c r="D7" s="118">
        <f>[2]STA_SP2_NO!$C$27</f>
        <v>107</v>
      </c>
      <c r="E7" s="61">
        <f>[3]STA_SP2_NO!$C$27</f>
        <v>65</v>
      </c>
      <c r="F7" s="118">
        <f>[4]STA_SP2_NO!$C$27</f>
        <v>195</v>
      </c>
      <c r="G7" s="143">
        <f>[5]STA_SP2_NO!$C$27</f>
        <v>641</v>
      </c>
      <c r="H7" s="118">
        <f>[6]STA_SP2_NO!$C$27</f>
        <v>93</v>
      </c>
      <c r="I7" s="143">
        <f>[7]STA_SP2_NO!$C$27</f>
        <v>201</v>
      </c>
      <c r="J7" s="54">
        <f>[8]STA_SP2_NO!$C$27</f>
        <v>122</v>
      </c>
      <c r="K7" s="143">
        <f>[9]STA_SP2_NO!$C$27</f>
        <v>130</v>
      </c>
      <c r="L7" s="387">
        <f>[10]STA_SP2_NO!$C$27</f>
        <v>66</v>
      </c>
      <c r="M7" s="332">
        <f>[11]STA_SP2_NO!$C$27</f>
        <v>0</v>
      </c>
      <c r="N7" s="249">
        <f t="shared" si="0"/>
        <v>1799</v>
      </c>
    </row>
    <row r="8" spans="1:15" x14ac:dyDescent="0.25">
      <c r="A8" s="32">
        <v>4</v>
      </c>
      <c r="B8" s="33" t="s">
        <v>42</v>
      </c>
      <c r="C8" s="62">
        <f>[1]STA_SP2_NO!$C$28</f>
        <v>10</v>
      </c>
      <c r="D8" s="118">
        <f>[2]STA_SP2_NO!$C$28</f>
        <v>3</v>
      </c>
      <c r="E8" s="61">
        <f>[3]STA_SP2_NO!$C$28</f>
        <v>3</v>
      </c>
      <c r="F8" s="118">
        <f>[4]STA_SP2_NO!$C$28</f>
        <v>11</v>
      </c>
      <c r="G8" s="143">
        <f>[5]STA_SP2_NO!$C$28</f>
        <v>0</v>
      </c>
      <c r="H8" s="118">
        <f>[6]STA_SP2_NO!$C$28</f>
        <v>3</v>
      </c>
      <c r="I8" s="143">
        <f>[7]STA_SP2_NO!$C$28</f>
        <v>9</v>
      </c>
      <c r="J8" s="54">
        <f>[8]STA_SP2_NO!$C$28</f>
        <v>2</v>
      </c>
      <c r="K8" s="143">
        <f>[9]STA_SP2_NO!$C$28</f>
        <v>10</v>
      </c>
      <c r="L8" s="387">
        <f>[10]STA_SP2_NO!$C$28</f>
        <v>4</v>
      </c>
      <c r="M8" s="332">
        <f>[11]STA_SP2_NO!$C$28</f>
        <v>0</v>
      </c>
      <c r="N8" s="249">
        <f t="shared" si="0"/>
        <v>55</v>
      </c>
    </row>
    <row r="9" spans="1:15" x14ac:dyDescent="0.25">
      <c r="A9" s="32">
        <v>5</v>
      </c>
      <c r="B9" s="33" t="s">
        <v>43</v>
      </c>
      <c r="C9" s="62">
        <f>[1]STA_SP2_NO!$C$29</f>
        <v>32</v>
      </c>
      <c r="D9" s="118">
        <f>[2]STA_SP2_NO!$C$29</f>
        <v>16</v>
      </c>
      <c r="E9" s="61">
        <f>[3]STA_SP2_NO!$C$29</f>
        <v>7</v>
      </c>
      <c r="F9" s="118">
        <f>[4]STA_SP2_NO!$C$29</f>
        <v>6</v>
      </c>
      <c r="G9" s="143">
        <f>[5]STA_SP2_NO!$C$29</f>
        <v>8</v>
      </c>
      <c r="H9" s="118">
        <f>[6]STA_SP2_NO!$C$29</f>
        <v>15</v>
      </c>
      <c r="I9" s="143">
        <f>[7]STA_SP2_NO!$C$29</f>
        <v>35</v>
      </c>
      <c r="J9" s="54">
        <f>[8]STA_SP2_NO!$C$29</f>
        <v>20</v>
      </c>
      <c r="K9" s="143">
        <f>[9]STA_SP2_NO!$C$29</f>
        <v>7</v>
      </c>
      <c r="L9" s="387">
        <f>[10]STA_SP2_NO!$C$29</f>
        <v>18</v>
      </c>
      <c r="M9" s="332">
        <f>[11]STA_SP2_NO!$C$29</f>
        <v>0</v>
      </c>
      <c r="N9" s="249">
        <f t="shared" si="0"/>
        <v>164</v>
      </c>
    </row>
    <row r="10" spans="1:15" x14ac:dyDescent="0.25">
      <c r="A10" s="32">
        <v>6</v>
      </c>
      <c r="B10" s="33" t="s">
        <v>44</v>
      </c>
      <c r="C10" s="62">
        <f>[1]STA_SP2_NO!$C$30</f>
        <v>642</v>
      </c>
      <c r="D10" s="118">
        <f>[2]STA_SP2_NO!$C$30</f>
        <v>393</v>
      </c>
      <c r="E10" s="61">
        <f>[3]STA_SP2_NO!$C$30</f>
        <v>184</v>
      </c>
      <c r="F10" s="118">
        <f>[4]STA_SP2_NO!$C$30</f>
        <v>855</v>
      </c>
      <c r="G10" s="143">
        <f>[5]STA_SP2_NO!$C$30</f>
        <v>327</v>
      </c>
      <c r="H10" s="118">
        <f>[6]STA_SP2_NO!$C$30</f>
        <v>603</v>
      </c>
      <c r="I10" s="143">
        <f>[7]STA_SP2_NO!$C$30</f>
        <v>832</v>
      </c>
      <c r="J10" s="54">
        <f>[8]STA_SP2_NO!$C$30</f>
        <v>459</v>
      </c>
      <c r="K10" s="143">
        <f>[9]STA_SP2_NO!$C$30</f>
        <v>249</v>
      </c>
      <c r="L10" s="387">
        <f>[10]STA_SP2_NO!$C$30</f>
        <v>697</v>
      </c>
      <c r="M10" s="332">
        <f>[11]STA_SP2_NO!$C$30</f>
        <v>18</v>
      </c>
      <c r="N10" s="249">
        <f t="shared" si="0"/>
        <v>5259</v>
      </c>
    </row>
    <row r="11" spans="1:15" x14ac:dyDescent="0.25">
      <c r="A11" s="32">
        <v>7</v>
      </c>
      <c r="B11" s="33" t="s">
        <v>45</v>
      </c>
      <c r="C11" s="62">
        <f>[1]STA_SP2_NO!$C$31</f>
        <v>1217</v>
      </c>
      <c r="D11" s="118">
        <f>[2]STA_SP2_NO!$C$31</f>
        <v>1299</v>
      </c>
      <c r="E11" s="61">
        <f>[3]STA_SP2_NO!$C$31</f>
        <v>484</v>
      </c>
      <c r="F11" s="118">
        <f>[4]STA_SP2_NO!$C$31</f>
        <v>1189</v>
      </c>
      <c r="G11" s="143">
        <f>[5]STA_SP2_NO!$C$31</f>
        <v>516</v>
      </c>
      <c r="H11" s="118">
        <f>[6]STA_SP2_NO!$C$31</f>
        <v>754</v>
      </c>
      <c r="I11" s="143">
        <f>[7]STA_SP2_NO!$C$31</f>
        <v>1356</v>
      </c>
      <c r="J11" s="54">
        <f>[8]STA_SP2_NO!$C$31</f>
        <v>1007</v>
      </c>
      <c r="K11" s="143">
        <f>[9]STA_SP2_NO!$C$31</f>
        <v>690</v>
      </c>
      <c r="L11" s="387">
        <f>[10]STA_SP2_NO!$C$31</f>
        <v>820</v>
      </c>
      <c r="M11" s="332">
        <f>[11]STA_SP2_NO!$C$31</f>
        <v>53</v>
      </c>
      <c r="N11" s="249">
        <f t="shared" si="0"/>
        <v>9385</v>
      </c>
    </row>
    <row r="12" spans="1:15" ht="15.75" thickBot="1" x14ac:dyDescent="0.3">
      <c r="A12" s="34">
        <v>8</v>
      </c>
      <c r="B12" s="35" t="s">
        <v>46</v>
      </c>
      <c r="C12" s="62">
        <f>[1]STA_SP2_NO!$C$32</f>
        <v>9</v>
      </c>
      <c r="D12" s="118">
        <f>[2]STA_SP2_NO!$C$32</f>
        <v>0</v>
      </c>
      <c r="E12" s="61">
        <f>[3]STA_SP2_NO!$C$32</f>
        <v>3</v>
      </c>
      <c r="F12" s="118">
        <f>[4]STA_SP2_NO!$C$32</f>
        <v>2</v>
      </c>
      <c r="G12" s="143">
        <f>[5]STA_SP2_NO!$C$32</f>
        <v>5</v>
      </c>
      <c r="H12" s="118">
        <f>[6]STA_SP2_NO!$C$32</f>
        <v>3</v>
      </c>
      <c r="I12" s="143">
        <f>[7]STA_SP2_NO!$C$32</f>
        <v>6</v>
      </c>
      <c r="J12" s="54">
        <f>[8]STA_SP2_NO!$C$32</f>
        <v>3</v>
      </c>
      <c r="K12" s="143">
        <f>[9]STA_SP2_NO!$C$32</f>
        <v>0</v>
      </c>
      <c r="L12" s="387">
        <f>[10]STA_SP2_NO!$C$32</f>
        <v>0</v>
      </c>
      <c r="M12" s="332">
        <f>[11]STA_SP2_NO!$C$32</f>
        <v>0</v>
      </c>
      <c r="N12" s="249">
        <f t="shared" si="0"/>
        <v>31</v>
      </c>
    </row>
    <row r="13" spans="1:15" ht="15.75" thickBot="1" x14ac:dyDescent="0.3">
      <c r="A13" s="57"/>
      <c r="B13" s="37" t="s">
        <v>3</v>
      </c>
      <c r="C13" s="41">
        <f t="shared" ref="C13:F13" si="1">SUM(C5:C12)</f>
        <v>38991</v>
      </c>
      <c r="D13" s="39">
        <f t="shared" si="1"/>
        <v>25444</v>
      </c>
      <c r="E13" s="41">
        <f t="shared" si="1"/>
        <v>13982</v>
      </c>
      <c r="F13" s="39">
        <f t="shared" si="1"/>
        <v>29006</v>
      </c>
      <c r="G13" s="40">
        <f t="shared" ref="G13:N13" si="2">SUM(G5:G12)</f>
        <v>25980</v>
      </c>
      <c r="H13" s="39">
        <f t="shared" si="2"/>
        <v>32627</v>
      </c>
      <c r="I13" s="40">
        <f t="shared" si="2"/>
        <v>55123</v>
      </c>
      <c r="J13" s="39">
        <f t="shared" si="2"/>
        <v>28507</v>
      </c>
      <c r="K13" s="40">
        <f t="shared" si="2"/>
        <v>17601</v>
      </c>
      <c r="L13" s="380">
        <f t="shared" si="2"/>
        <v>33835</v>
      </c>
      <c r="M13" s="333">
        <f t="shared" si="2"/>
        <v>1664</v>
      </c>
      <c r="N13" s="250">
        <f t="shared" si="2"/>
        <v>302760</v>
      </c>
    </row>
    <row r="14" spans="1:15" ht="15.75" thickBot="1" x14ac:dyDescent="0.3">
      <c r="A14" s="1"/>
      <c r="B14" s="1"/>
      <c r="C14" s="1"/>
      <c r="D14" s="1"/>
      <c r="E14" s="1"/>
      <c r="F14" s="1"/>
      <c r="G14" s="341"/>
      <c r="H14" s="1"/>
      <c r="I14" s="341"/>
      <c r="J14" s="1"/>
      <c r="K14" s="341"/>
      <c r="L14" s="1"/>
      <c r="M14" s="348"/>
      <c r="N14" s="1"/>
    </row>
    <row r="15" spans="1:15" ht="15.75" thickBot="1" x14ac:dyDescent="0.3">
      <c r="A15" s="467" t="s">
        <v>53</v>
      </c>
      <c r="B15" s="518"/>
      <c r="C15" s="48">
        <f>C13/N13</f>
        <v>0.12878517637732859</v>
      </c>
      <c r="D15" s="56">
        <f>D13/N13</f>
        <v>8.4040163826132913E-2</v>
      </c>
      <c r="E15" s="48">
        <f>E13/N13</f>
        <v>4.6181794160391067E-2</v>
      </c>
      <c r="F15" s="47">
        <f>F13/N13</f>
        <v>9.5805258290395032E-2</v>
      </c>
      <c r="G15" s="70">
        <f>G13/N13</f>
        <v>8.581054300435989E-2</v>
      </c>
      <c r="H15" s="47">
        <f>H13/N13</f>
        <v>0.10776522658211124</v>
      </c>
      <c r="I15" s="70">
        <f>I13/N13</f>
        <v>0.18206830492799578</v>
      </c>
      <c r="J15" s="47">
        <f>J13/N13</f>
        <v>9.415708812260537E-2</v>
      </c>
      <c r="K15" s="70">
        <f>K13/N13</f>
        <v>5.8135156559651208E-2</v>
      </c>
      <c r="L15" s="47">
        <f>L13/N13</f>
        <v>0.11175518562557801</v>
      </c>
      <c r="M15" s="342">
        <f>M13/N13</f>
        <v>5.4961025234509181E-3</v>
      </c>
      <c r="N15" s="258">
        <f>SUM(C15:M15)</f>
        <v>0.99999999999999989</v>
      </c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ht="15.75" thickBot="1" x14ac:dyDescent="0.3">
      <c r="A18" s="26"/>
      <c r="B18" s="26"/>
      <c r="C18" s="455" t="s">
        <v>107</v>
      </c>
      <c r="D18" s="456"/>
      <c r="E18" s="456"/>
      <c r="F18" s="456"/>
      <c r="G18" s="456"/>
      <c r="H18" s="456"/>
      <c r="I18" s="456"/>
      <c r="J18" s="457"/>
      <c r="K18" s="457"/>
      <c r="L18" s="26"/>
      <c r="M18" s="26"/>
      <c r="N18" s="155" t="s">
        <v>36</v>
      </c>
    </row>
    <row r="19" spans="1:15" ht="15.75" thickBot="1" x14ac:dyDescent="0.3">
      <c r="A19" s="458" t="s">
        <v>0</v>
      </c>
      <c r="B19" s="460" t="s">
        <v>1</v>
      </c>
      <c r="C19" s="493" t="s">
        <v>2</v>
      </c>
      <c r="D19" s="494"/>
      <c r="E19" s="494"/>
      <c r="F19" s="494"/>
      <c r="G19" s="494"/>
      <c r="H19" s="494"/>
      <c r="I19" s="494"/>
      <c r="J19" s="494"/>
      <c r="K19" s="494"/>
      <c r="L19" s="494"/>
      <c r="M19" s="495"/>
      <c r="N19" s="505" t="s">
        <v>3</v>
      </c>
    </row>
    <row r="20" spans="1:15" x14ac:dyDescent="0.25">
      <c r="A20" s="497"/>
      <c r="B20" s="499"/>
      <c r="C20" s="531" t="s">
        <v>69</v>
      </c>
      <c r="D20" s="460" t="s">
        <v>4</v>
      </c>
      <c r="E20" s="501" t="s">
        <v>5</v>
      </c>
      <c r="F20" s="460" t="s">
        <v>6</v>
      </c>
      <c r="G20" s="512" t="s">
        <v>8</v>
      </c>
      <c r="H20" s="460" t="s">
        <v>94</v>
      </c>
      <c r="I20" s="501" t="s">
        <v>9</v>
      </c>
      <c r="J20" s="503" t="s">
        <v>10</v>
      </c>
      <c r="K20" s="501" t="s">
        <v>93</v>
      </c>
      <c r="L20" s="460" t="s">
        <v>11</v>
      </c>
      <c r="M20" s="514" t="s">
        <v>96</v>
      </c>
      <c r="N20" s="506"/>
    </row>
    <row r="21" spans="1:15" ht="15.75" thickBot="1" x14ac:dyDescent="0.3">
      <c r="A21" s="498"/>
      <c r="B21" s="500"/>
      <c r="C21" s="526"/>
      <c r="D21" s="498"/>
      <c r="E21" s="498"/>
      <c r="F21" s="498"/>
      <c r="G21" s="513"/>
      <c r="H21" s="461"/>
      <c r="I21" s="502"/>
      <c r="J21" s="504"/>
      <c r="K21" s="502"/>
      <c r="L21" s="461"/>
      <c r="M21" s="515"/>
      <c r="N21" s="507"/>
    </row>
    <row r="22" spans="1:15" x14ac:dyDescent="0.25">
      <c r="A22" s="30">
        <v>1</v>
      </c>
      <c r="B22" s="31" t="s">
        <v>39</v>
      </c>
      <c r="C22" s="62">
        <f>[1]STA_SP2_NO!$D$25</f>
        <v>173433.71</v>
      </c>
      <c r="D22" s="118">
        <f>[2]STA_SP2_NO!$D$25</f>
        <v>101466.4</v>
      </c>
      <c r="E22" s="61">
        <f>[3]STA_SP2_NO!$D$25</f>
        <v>60408</v>
      </c>
      <c r="F22" s="388">
        <f>[4]STA_SP2_NO!$D$25</f>
        <v>116777.58</v>
      </c>
      <c r="G22" s="143">
        <f>[5]STA_SP2_NO!$D$25</f>
        <v>109109</v>
      </c>
      <c r="H22" s="118">
        <f>[6]STA_SP2_NO!$D$25</f>
        <v>134799.81</v>
      </c>
      <c r="I22" s="143">
        <f>[7]STA_SP2_NO!$D$25</f>
        <v>230254</v>
      </c>
      <c r="J22" s="54">
        <f>[8]STA_SP2_NO!$D$25</f>
        <v>117480</v>
      </c>
      <c r="K22" s="143">
        <f>[9]STA_SP2_NO!$D$25</f>
        <v>77729.42</v>
      </c>
      <c r="L22" s="387">
        <f>[10]STA_SP2_NO!$D$25</f>
        <v>140617</v>
      </c>
      <c r="M22" s="332">
        <f>[11]STA_SP2_NO!$D$25</f>
        <v>6874.59</v>
      </c>
      <c r="N22" s="249">
        <f t="shared" ref="N22:N29" si="3">SUM(C22:M22)</f>
        <v>1268949.51</v>
      </c>
    </row>
    <row r="23" spans="1:15" x14ac:dyDescent="0.25">
      <c r="A23" s="32">
        <v>2</v>
      </c>
      <c r="B23" s="33" t="s">
        <v>40</v>
      </c>
      <c r="C23" s="62">
        <f>[1]STA_SP2_NO!$D$26</f>
        <v>22808.14</v>
      </c>
      <c r="D23" s="118">
        <f>[2]STA_SP2_NO!$D$26</f>
        <v>21890.11</v>
      </c>
      <c r="E23" s="61">
        <f>[3]STA_SP2_NO!$D$26</f>
        <v>9374</v>
      </c>
      <c r="F23" s="388">
        <f>[4]STA_SP2_NO!$D$26</f>
        <v>21606.82</v>
      </c>
      <c r="G23" s="143">
        <f>[5]STA_SP2_NO!$D$26</f>
        <v>10454</v>
      </c>
      <c r="H23" s="118">
        <f>[6]STA_SP2_NO!$D$26</f>
        <v>12797.92</v>
      </c>
      <c r="I23" s="143">
        <f>[7]STA_SP2_NO!$D$26</f>
        <v>23214</v>
      </c>
      <c r="J23" s="54">
        <f>[8]STA_SP2_NO!$D$26</f>
        <v>16315</v>
      </c>
      <c r="K23" s="143">
        <f>[9]STA_SP2_NO!$D$26</f>
        <v>13740.08</v>
      </c>
      <c r="L23" s="387">
        <f>[10]STA_SP2_NO!$D$26</f>
        <v>14577</v>
      </c>
      <c r="M23" s="332">
        <f>[11]STA_SP2_NO!$D$26</f>
        <v>964.43</v>
      </c>
      <c r="N23" s="249">
        <f t="shared" si="3"/>
        <v>167741.49999999997</v>
      </c>
    </row>
    <row r="24" spans="1:15" x14ac:dyDescent="0.25">
      <c r="A24" s="32">
        <v>3</v>
      </c>
      <c r="B24" s="33" t="s">
        <v>41</v>
      </c>
      <c r="C24" s="62">
        <f>[1]STA_SP2_NO!$D$27</f>
        <v>3086.64</v>
      </c>
      <c r="D24" s="118">
        <f>[2]STA_SP2_NO!$D$27</f>
        <v>1724.3</v>
      </c>
      <c r="E24" s="61">
        <f>[3]STA_SP2_NO!$D$27</f>
        <v>1102</v>
      </c>
      <c r="F24" s="388">
        <f>[4]STA_SP2_NO!$D$27</f>
        <v>3044.18</v>
      </c>
      <c r="G24" s="143">
        <f>[5]STA_SP2_NO!$D$27</f>
        <v>5958</v>
      </c>
      <c r="H24" s="118">
        <f>[6]STA_SP2_NO!$D$27</f>
        <v>1500.11</v>
      </c>
      <c r="I24" s="143">
        <f>[7]STA_SP2_NO!$D$27</f>
        <v>3402</v>
      </c>
      <c r="J24" s="54">
        <f>[8]STA_SP2_NO!$D$27</f>
        <v>1932</v>
      </c>
      <c r="K24" s="143">
        <f>[9]STA_SP2_NO!$D$27</f>
        <v>2221.64</v>
      </c>
      <c r="L24" s="387">
        <f>[10]STA_SP2_NO!$D$27</f>
        <v>1074</v>
      </c>
      <c r="M24" s="332">
        <f>[11]STA_SP2_NO!$D$27</f>
        <v>0</v>
      </c>
      <c r="N24" s="249">
        <f t="shared" si="3"/>
        <v>25044.87</v>
      </c>
    </row>
    <row r="25" spans="1:15" x14ac:dyDescent="0.25">
      <c r="A25" s="32">
        <v>4</v>
      </c>
      <c r="B25" s="33" t="s">
        <v>42</v>
      </c>
      <c r="C25" s="62">
        <f>[1]STA_SP2_NO!$D$28</f>
        <v>55.36</v>
      </c>
      <c r="D25" s="118">
        <f>[2]STA_SP2_NO!$D$28</f>
        <v>16.600000000000001</v>
      </c>
      <c r="E25" s="61">
        <f>[3]STA_SP2_NO!$D$28</f>
        <v>17</v>
      </c>
      <c r="F25" s="388">
        <f>[4]STA_SP2_NO!$D$28</f>
        <v>90.72</v>
      </c>
      <c r="G25" s="143">
        <f>[5]STA_SP2_NO!$D$28</f>
        <v>0</v>
      </c>
      <c r="H25" s="118">
        <f>[6]STA_SP2_NO!$D$28</f>
        <v>16.61</v>
      </c>
      <c r="I25" s="143">
        <f>[7]STA_SP2_NO!$D$28</f>
        <v>50</v>
      </c>
      <c r="J25" s="54">
        <f>[8]STA_SP2_NO!$D$28</f>
        <v>34</v>
      </c>
      <c r="K25" s="143">
        <f>[9]STA_SP2_NO!$D$28</f>
        <v>55.36</v>
      </c>
      <c r="L25" s="387">
        <f>[10]STA_SP2_NO!$D$28</f>
        <v>27</v>
      </c>
      <c r="M25" s="332">
        <f>[11]STA_SP2_NO!$D$28</f>
        <v>0</v>
      </c>
      <c r="N25" s="249">
        <f t="shared" si="3"/>
        <v>362.65000000000003</v>
      </c>
    </row>
    <row r="26" spans="1:15" x14ac:dyDescent="0.25">
      <c r="A26" s="32">
        <v>5</v>
      </c>
      <c r="B26" s="33" t="s">
        <v>43</v>
      </c>
      <c r="C26" s="62">
        <f>[1]STA_SP2_NO!$D$29</f>
        <v>177.45</v>
      </c>
      <c r="D26" s="118">
        <f>[2]STA_SP2_NO!$D$29</f>
        <v>83.34</v>
      </c>
      <c r="E26" s="61">
        <f>[3]STA_SP2_NO!$D$29</f>
        <v>39</v>
      </c>
      <c r="F26" s="388">
        <f>[4]STA_SP2_NO!$D$29</f>
        <v>33.22</v>
      </c>
      <c r="G26" s="143">
        <f>[5]STA_SP2_NO!$D$29</f>
        <v>44</v>
      </c>
      <c r="H26" s="118">
        <f>[6]STA_SP2_NO!$D$29</f>
        <v>83.04</v>
      </c>
      <c r="I26" s="143">
        <f>[7]STA_SP2_NO!$D$29</f>
        <v>188</v>
      </c>
      <c r="J26" s="54">
        <f>[8]STA_SP2_NO!$D$29</f>
        <v>105</v>
      </c>
      <c r="K26" s="143">
        <f>[9]STA_SP2_NO!$D$29</f>
        <v>38.75</v>
      </c>
      <c r="L26" s="387">
        <f>[10]STA_SP2_NO!$D$29</f>
        <v>94</v>
      </c>
      <c r="M26" s="332">
        <f>[11]STA_SP2_NO!$D$29</f>
        <v>0</v>
      </c>
      <c r="N26" s="249">
        <f t="shared" si="3"/>
        <v>885.8</v>
      </c>
    </row>
    <row r="27" spans="1:15" x14ac:dyDescent="0.25">
      <c r="A27" s="32">
        <v>6</v>
      </c>
      <c r="B27" s="33" t="s">
        <v>44</v>
      </c>
      <c r="C27" s="62">
        <f>[1]STA_SP2_NO!$D$30</f>
        <v>1200.3</v>
      </c>
      <c r="D27" s="118">
        <f>[2]STA_SP2_NO!$D$30</f>
        <v>685.2</v>
      </c>
      <c r="E27" s="61">
        <f>[3]STA_SP2_NO!$D$30</f>
        <v>340</v>
      </c>
      <c r="F27" s="388">
        <f>[4]STA_SP2_NO!$D$30</f>
        <v>1500.19</v>
      </c>
      <c r="G27" s="143">
        <f>[5]STA_SP2_NO!$D$30</f>
        <v>579</v>
      </c>
      <c r="H27" s="118">
        <f>[6]STA_SP2_NO!$D$30</f>
        <v>1053.55</v>
      </c>
      <c r="I27" s="143">
        <f>[7]STA_SP2_NO!$D$30</f>
        <v>1520</v>
      </c>
      <c r="J27" s="54">
        <f>[8]STA_SP2_NO!$D$30</f>
        <v>807</v>
      </c>
      <c r="K27" s="143">
        <f>[9]STA_SP2_NO!$D$30</f>
        <v>460.65</v>
      </c>
      <c r="L27" s="387">
        <f>[10]STA_SP2_NO!$D$30</f>
        <v>1229</v>
      </c>
      <c r="M27" s="332">
        <f>[11]STA_SP2_NO!$D$30</f>
        <v>33.299999999999997</v>
      </c>
      <c r="N27" s="249">
        <f t="shared" si="3"/>
        <v>9408.1899999999987</v>
      </c>
    </row>
    <row r="28" spans="1:15" x14ac:dyDescent="0.25">
      <c r="A28" s="32">
        <v>7</v>
      </c>
      <c r="B28" s="33" t="s">
        <v>45</v>
      </c>
      <c r="C28" s="62">
        <f>[1]STA_SP2_NO!$D$31</f>
        <v>6775.71</v>
      </c>
      <c r="D28" s="118">
        <f>[2]STA_SP2_NO!$D$31</f>
        <v>6704.31</v>
      </c>
      <c r="E28" s="61">
        <f>[3]STA_SP2_NO!$D$31</f>
        <v>2669</v>
      </c>
      <c r="F28" s="388">
        <f>[4]STA_SP2_NO!$D$31</f>
        <v>6084.28</v>
      </c>
      <c r="G28" s="143">
        <f>[5]STA_SP2_NO!$D$31</f>
        <v>2774</v>
      </c>
      <c r="H28" s="118">
        <f>[6]STA_SP2_NO!$D$31</f>
        <v>3854.75</v>
      </c>
      <c r="I28" s="143">
        <f>[7]STA_SP2_NO!$D$31</f>
        <v>7465</v>
      </c>
      <c r="J28" s="54">
        <f>[8]STA_SP2_NO!$D$31</f>
        <v>5227</v>
      </c>
      <c r="K28" s="143">
        <f>[9]STA_SP2_NO!$D$31</f>
        <v>3808.77</v>
      </c>
      <c r="L28" s="387">
        <f>[10]STA_SP2_NO!$D$31</f>
        <v>4210</v>
      </c>
      <c r="M28" s="332">
        <f>[11]STA_SP2_NO!$D$31</f>
        <v>293.41000000000003</v>
      </c>
      <c r="N28" s="249">
        <f t="shared" si="3"/>
        <v>49866.23</v>
      </c>
    </row>
    <row r="29" spans="1:15" ht="15.75" thickBot="1" x14ac:dyDescent="0.3">
      <c r="A29" s="34">
        <v>8</v>
      </c>
      <c r="B29" s="35" t="s">
        <v>46</v>
      </c>
      <c r="C29" s="62">
        <f>[1]STA_SP2_NO!$D$32</f>
        <v>50.42</v>
      </c>
      <c r="D29" s="118">
        <f>[2]STA_SP2_NO!$D$32</f>
        <v>0</v>
      </c>
      <c r="E29" s="61">
        <f>[3]STA_SP2_NO!$D$32</f>
        <v>17</v>
      </c>
      <c r="F29" s="388">
        <f>[4]STA_SP2_NO!$D$32</f>
        <v>11.07</v>
      </c>
      <c r="G29" s="143">
        <f>[5]STA_SP2_NO!$D$32</f>
        <v>28</v>
      </c>
      <c r="H29" s="118">
        <f>[6]STA_SP2_NO!$D$32</f>
        <v>16.61</v>
      </c>
      <c r="I29" s="143">
        <f>[7]STA_SP2_NO!$D$32</f>
        <v>33</v>
      </c>
      <c r="J29" s="54">
        <f>[8]STA_SP2_NO!$D$32</f>
        <v>17</v>
      </c>
      <c r="K29" s="143">
        <f>[9]STA_SP2_NO!$D$32</f>
        <v>0</v>
      </c>
      <c r="L29" s="387">
        <f>[10]STA_SP2_NO!$D$32</f>
        <v>0</v>
      </c>
      <c r="M29" s="332">
        <f>[11]STA_SP2_NO!$D$32</f>
        <v>0</v>
      </c>
      <c r="N29" s="249">
        <f t="shared" si="3"/>
        <v>173.10000000000002</v>
      </c>
    </row>
    <row r="30" spans="1:15" ht="15.75" thickBot="1" x14ac:dyDescent="0.3">
      <c r="A30" s="57"/>
      <c r="B30" s="37" t="s">
        <v>3</v>
      </c>
      <c r="C30" s="41">
        <f t="shared" ref="C30:E30" si="4">SUM(C22:C29)</f>
        <v>207587.72999999998</v>
      </c>
      <c r="D30" s="39">
        <f t="shared" si="4"/>
        <v>132570.26</v>
      </c>
      <c r="E30" s="41">
        <f t="shared" si="4"/>
        <v>73966</v>
      </c>
      <c r="F30" s="51">
        <f t="shared" ref="F30:N30" si="5">SUM(F22:F29)</f>
        <v>149148.06</v>
      </c>
      <c r="G30" s="40">
        <f t="shared" si="5"/>
        <v>128946</v>
      </c>
      <c r="H30" s="39">
        <f t="shared" si="5"/>
        <v>154122.39999999997</v>
      </c>
      <c r="I30" s="40">
        <f t="shared" si="5"/>
        <v>266126</v>
      </c>
      <c r="J30" s="39">
        <f t="shared" si="5"/>
        <v>141917</v>
      </c>
      <c r="K30" s="40">
        <f t="shared" si="5"/>
        <v>98054.67</v>
      </c>
      <c r="L30" s="380">
        <f t="shared" si="5"/>
        <v>161828</v>
      </c>
      <c r="M30" s="333">
        <f t="shared" si="5"/>
        <v>8165.7300000000005</v>
      </c>
      <c r="N30" s="250">
        <f t="shared" si="5"/>
        <v>1522431.85</v>
      </c>
    </row>
    <row r="31" spans="1:15" ht="15.75" thickBot="1" x14ac:dyDescent="0.3">
      <c r="A31" s="1"/>
      <c r="B31" s="1"/>
      <c r="C31" s="1"/>
      <c r="D31" s="1"/>
      <c r="E31" s="1"/>
      <c r="F31" s="1"/>
      <c r="G31" s="341"/>
      <c r="H31" s="1"/>
      <c r="I31" s="341"/>
      <c r="J31" s="1"/>
      <c r="K31" s="341"/>
      <c r="L31" s="1"/>
      <c r="M31" s="348"/>
      <c r="N31" s="1"/>
    </row>
    <row r="32" spans="1:15" ht="15.75" thickBot="1" x14ac:dyDescent="0.3">
      <c r="A32" s="467" t="s">
        <v>53</v>
      </c>
      <c r="B32" s="518"/>
      <c r="C32" s="48">
        <f>C30/N30</f>
        <v>0.13635272409730523</v>
      </c>
      <c r="D32" s="56">
        <f>D30/N30</f>
        <v>8.7077960172732852E-2</v>
      </c>
      <c r="E32" s="48">
        <f>E30/N30</f>
        <v>4.8584112320035865E-2</v>
      </c>
      <c r="F32" s="47">
        <f>F30/N30</f>
        <v>9.7966986174126608E-2</v>
      </c>
      <c r="G32" s="70">
        <f>G30/N30</f>
        <v>8.4697387275496097E-2</v>
      </c>
      <c r="H32" s="47">
        <f>H30/N30</f>
        <v>0.10123435081839621</v>
      </c>
      <c r="I32" s="70">
        <f>I30/N30</f>
        <v>0.17480322682424174</v>
      </c>
      <c r="J32" s="47">
        <f>J30/N30</f>
        <v>9.3217308873300306E-2</v>
      </c>
      <c r="K32" s="70">
        <f>K30/N30</f>
        <v>6.4406607100344099E-2</v>
      </c>
      <c r="L32" s="389">
        <f>L30/N30</f>
        <v>0.10629572680051326</v>
      </c>
      <c r="M32" s="342">
        <f>M30/N30</f>
        <v>5.3636095435076452E-3</v>
      </c>
      <c r="N32" s="258">
        <f>SUM(C32:M32)</f>
        <v>0.99999999999999989</v>
      </c>
    </row>
  </sheetData>
  <mergeCells count="34">
    <mergeCell ref="N19:N21"/>
    <mergeCell ref="C20:C21"/>
    <mergeCell ref="D20:D21"/>
    <mergeCell ref="E20:E21"/>
    <mergeCell ref="K20:K21"/>
    <mergeCell ref="L20:L21"/>
    <mergeCell ref="M20:M21"/>
    <mergeCell ref="N2:N4"/>
    <mergeCell ref="C3:C4"/>
    <mergeCell ref="D3:D4"/>
    <mergeCell ref="E3:E4"/>
    <mergeCell ref="F3:F4"/>
    <mergeCell ref="G3:G4"/>
    <mergeCell ref="L3:L4"/>
    <mergeCell ref="M3:M4"/>
    <mergeCell ref="A15:B15"/>
    <mergeCell ref="C1:K1"/>
    <mergeCell ref="A2:A4"/>
    <mergeCell ref="B2:B4"/>
    <mergeCell ref="H3:H4"/>
    <mergeCell ref="I3:I4"/>
    <mergeCell ref="J3:J4"/>
    <mergeCell ref="K3:K4"/>
    <mergeCell ref="C2:M2"/>
    <mergeCell ref="A32:B32"/>
    <mergeCell ref="C18:K18"/>
    <mergeCell ref="A19:A21"/>
    <mergeCell ref="B19:B21"/>
    <mergeCell ref="F20:F21"/>
    <mergeCell ref="G20:G21"/>
    <mergeCell ref="H20:H21"/>
    <mergeCell ref="I20:I21"/>
    <mergeCell ref="J20:J21"/>
    <mergeCell ref="C19:M19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I35" sqref="I35"/>
    </sheetView>
  </sheetViews>
  <sheetFormatPr defaultRowHeight="15" x14ac:dyDescent="0.25"/>
  <cols>
    <col min="1" max="1" width="3.85546875" customWidth="1"/>
    <col min="2" max="2" width="20" customWidth="1"/>
  </cols>
  <sheetData>
    <row r="1" spans="1:15" ht="28.5" customHeight="1" thickBot="1" x14ac:dyDescent="0.3">
      <c r="A1" s="26"/>
      <c r="B1" s="26"/>
      <c r="C1" s="455" t="s">
        <v>108</v>
      </c>
      <c r="D1" s="456"/>
      <c r="E1" s="456"/>
      <c r="F1" s="456"/>
      <c r="G1" s="456"/>
      <c r="H1" s="456"/>
      <c r="I1" s="456"/>
      <c r="J1" s="457"/>
      <c r="K1" s="457"/>
      <c r="L1" s="26"/>
      <c r="M1" s="26"/>
      <c r="N1" s="52"/>
    </row>
    <row r="2" spans="1:15" ht="15.75" thickBot="1" x14ac:dyDescent="0.3">
      <c r="A2" s="458" t="s">
        <v>0</v>
      </c>
      <c r="B2" s="460" t="s">
        <v>1</v>
      </c>
      <c r="C2" s="493" t="s">
        <v>2</v>
      </c>
      <c r="D2" s="494"/>
      <c r="E2" s="494"/>
      <c r="F2" s="494"/>
      <c r="G2" s="494"/>
      <c r="H2" s="494"/>
      <c r="I2" s="494"/>
      <c r="J2" s="494"/>
      <c r="K2" s="494"/>
      <c r="L2" s="494"/>
      <c r="M2" s="495"/>
      <c r="N2" s="505" t="s">
        <v>3</v>
      </c>
    </row>
    <row r="3" spans="1:15" x14ac:dyDescent="0.25">
      <c r="A3" s="497"/>
      <c r="B3" s="499"/>
      <c r="C3" s="524" t="s">
        <v>69</v>
      </c>
      <c r="D3" s="499" t="s">
        <v>4</v>
      </c>
      <c r="E3" s="519" t="s">
        <v>5</v>
      </c>
      <c r="F3" s="460" t="s">
        <v>6</v>
      </c>
      <c r="G3" s="512" t="s">
        <v>8</v>
      </c>
      <c r="H3" s="460" t="s">
        <v>94</v>
      </c>
      <c r="I3" s="501" t="s">
        <v>9</v>
      </c>
      <c r="J3" s="503" t="s">
        <v>10</v>
      </c>
      <c r="K3" s="501" t="s">
        <v>93</v>
      </c>
      <c r="L3" s="460" t="s">
        <v>11</v>
      </c>
      <c r="M3" s="528" t="s">
        <v>96</v>
      </c>
      <c r="N3" s="506"/>
    </row>
    <row r="4" spans="1:15" ht="15.75" thickBot="1" x14ac:dyDescent="0.3">
      <c r="A4" s="498"/>
      <c r="B4" s="500"/>
      <c r="C4" s="526"/>
      <c r="D4" s="498"/>
      <c r="E4" s="498"/>
      <c r="F4" s="498"/>
      <c r="G4" s="513"/>
      <c r="H4" s="461"/>
      <c r="I4" s="502"/>
      <c r="J4" s="504"/>
      <c r="K4" s="502"/>
      <c r="L4" s="461"/>
      <c r="M4" s="530"/>
      <c r="N4" s="507"/>
    </row>
    <row r="5" spans="1:15" x14ac:dyDescent="0.25">
      <c r="A5" s="30">
        <v>1</v>
      </c>
      <c r="B5" s="31" t="s">
        <v>39</v>
      </c>
      <c r="C5" s="62">
        <f>[1]STA_SP2_NO!$C$34</f>
        <v>573</v>
      </c>
      <c r="D5" s="118">
        <f>[2]STA_SP2_NO!$C$34</f>
        <v>200</v>
      </c>
      <c r="E5" s="62">
        <f>[3]STA_SP2_NO!$C$34</f>
        <v>38281</v>
      </c>
      <c r="F5" s="118">
        <f>[4]STA_SP2_NO!$C$34</f>
        <v>307</v>
      </c>
      <c r="G5" s="391">
        <f>[5]STA_SP2_NO!$C$34</f>
        <v>294</v>
      </c>
      <c r="H5" s="54">
        <f>[6]STA_SP2_NO!$C$34</f>
        <v>8269</v>
      </c>
      <c r="I5" s="61">
        <f>[7]STA_SP2_NO!$C$34</f>
        <v>796</v>
      </c>
      <c r="J5" s="54">
        <f>[8]STA_SP2_NO!$C$34</f>
        <v>155</v>
      </c>
      <c r="K5" s="61">
        <f>[9]STA_SP2_NO!$C$34</f>
        <v>4534</v>
      </c>
      <c r="L5" s="390">
        <f>[10]STA_SP2_NO!$C$34</f>
        <v>196</v>
      </c>
      <c r="M5" s="332">
        <f>[11]STA_SP2_NO!$C$34</f>
        <v>749</v>
      </c>
      <c r="N5" s="249">
        <f t="shared" ref="N5:N13" si="0">SUM(C5:M5)</f>
        <v>54354</v>
      </c>
    </row>
    <row r="6" spans="1:15" x14ac:dyDescent="0.25">
      <c r="A6" s="32">
        <v>2</v>
      </c>
      <c r="B6" s="33" t="s">
        <v>40</v>
      </c>
      <c r="C6" s="62">
        <f>[1]STA_SP2_NO!$C$35</f>
        <v>15</v>
      </c>
      <c r="D6" s="118">
        <f>[2]STA_SP2_NO!$C$35</f>
        <v>2</v>
      </c>
      <c r="E6" s="62">
        <f>[3]STA_SP2_NO!$C$35</f>
        <v>561</v>
      </c>
      <c r="F6" s="118">
        <f>[4]STA_SP2_NO!$C$35</f>
        <v>3</v>
      </c>
      <c r="G6" s="391">
        <f>[5]STA_SP2_NO!$C$35</f>
        <v>1</v>
      </c>
      <c r="H6" s="54">
        <f>[6]STA_SP2_NO!$C$35</f>
        <v>0</v>
      </c>
      <c r="I6" s="61">
        <f>[7]STA_SP2_NO!$C$35</f>
        <v>0</v>
      </c>
      <c r="J6" s="54">
        <f>[8]STA_SP2_NO!$C$35</f>
        <v>2</v>
      </c>
      <c r="K6" s="61">
        <f>[9]STA_SP2_NO!$C$35</f>
        <v>30</v>
      </c>
      <c r="L6" s="390">
        <f>[10]STA_SP2_NO!$C$35</f>
        <v>4</v>
      </c>
      <c r="M6" s="332">
        <f>[11]STA_SP2_NO!$C$35</f>
        <v>1</v>
      </c>
      <c r="N6" s="249">
        <f t="shared" si="0"/>
        <v>619</v>
      </c>
    </row>
    <row r="7" spans="1:15" x14ac:dyDescent="0.25">
      <c r="A7" s="32">
        <v>3</v>
      </c>
      <c r="B7" s="33" t="s">
        <v>41</v>
      </c>
      <c r="C7" s="62">
        <f>[1]STA_SP2_NO!$C$36</f>
        <v>1</v>
      </c>
      <c r="D7" s="118">
        <f>[2]STA_SP2_NO!$C$36</f>
        <v>0</v>
      </c>
      <c r="E7" s="62">
        <f>[3]STA_SP2_NO!$C$36</f>
        <v>45</v>
      </c>
      <c r="F7" s="118">
        <f>[4]STA_SP2_NO!$C$36</f>
        <v>1</v>
      </c>
      <c r="G7" s="391">
        <f>[5]STA_SP2_NO!$C$36</f>
        <v>0</v>
      </c>
      <c r="H7" s="54">
        <f>[6]STA_SP2_NO!$C$36</f>
        <v>0</v>
      </c>
      <c r="I7" s="61">
        <f>[7]STA_SP2_NO!$C$36</f>
        <v>0</v>
      </c>
      <c r="J7" s="54">
        <f>[8]STA_SP2_NO!$C$36</f>
        <v>0</v>
      </c>
      <c r="K7" s="61">
        <f>[9]STA_SP2_NO!$C$36</f>
        <v>6</v>
      </c>
      <c r="L7" s="390">
        <f>[10]STA_SP2_NO!$C$36</f>
        <v>0</v>
      </c>
      <c r="M7" s="332">
        <f>[11]STA_SP2_NO!$C$36</f>
        <v>1</v>
      </c>
      <c r="N7" s="249">
        <f t="shared" si="0"/>
        <v>54</v>
      </c>
    </row>
    <row r="8" spans="1:15" x14ac:dyDescent="0.25">
      <c r="A8" s="32">
        <v>4</v>
      </c>
      <c r="B8" s="33" t="s">
        <v>42</v>
      </c>
      <c r="C8" s="62">
        <f>[1]STA_SP2_NO!$C$37</f>
        <v>2</v>
      </c>
      <c r="D8" s="118">
        <f>[2]STA_SP2_NO!$C$37</f>
        <v>0</v>
      </c>
      <c r="E8" s="62">
        <f>[3]STA_SP2_NO!$C$37</f>
        <v>4</v>
      </c>
      <c r="F8" s="118">
        <f>[4]STA_SP2_NO!$C$37</f>
        <v>1</v>
      </c>
      <c r="G8" s="391">
        <f>[5]STA_SP2_NO!$C$37</f>
        <v>0</v>
      </c>
      <c r="H8" s="54">
        <f>[6]STA_SP2_NO!$C$37</f>
        <v>0</v>
      </c>
      <c r="I8" s="61">
        <f>[7]STA_SP2_NO!$C$37</f>
        <v>0</v>
      </c>
      <c r="J8" s="54">
        <f>[8]STA_SP2_NO!$C$37</f>
        <v>0</v>
      </c>
      <c r="K8" s="61">
        <f>[9]STA_SP2_NO!$C$37</f>
        <v>0</v>
      </c>
      <c r="L8" s="390">
        <f>[10]STA_SP2_NO!$C$37</f>
        <v>0</v>
      </c>
      <c r="M8" s="332">
        <f>[11]STA_SP2_NO!$C$37</f>
        <v>1</v>
      </c>
      <c r="N8" s="249">
        <f t="shared" si="0"/>
        <v>8</v>
      </c>
    </row>
    <row r="9" spans="1:15" x14ac:dyDescent="0.25">
      <c r="A9" s="32">
        <v>5</v>
      </c>
      <c r="B9" s="33" t="s">
        <v>43</v>
      </c>
      <c r="C9" s="62">
        <f>[1]STA_SP2_NO!$C$38</f>
        <v>0</v>
      </c>
      <c r="D9" s="118">
        <f>[2]STA_SP2_NO!$C$38</f>
        <v>0</v>
      </c>
      <c r="E9" s="62">
        <f>[3]STA_SP2_NO!$C$38</f>
        <v>21</v>
      </c>
      <c r="F9" s="118">
        <f>[4]STA_SP2_NO!$C$38</f>
        <v>0</v>
      </c>
      <c r="G9" s="391">
        <f>[5]STA_SP2_NO!$C$38</f>
        <v>0</v>
      </c>
      <c r="H9" s="54">
        <f>[6]STA_SP2_NO!$C$38</f>
        <v>0</v>
      </c>
      <c r="I9" s="61">
        <f>[7]STA_SP2_NO!$C$38</f>
        <v>0</v>
      </c>
      <c r="J9" s="54">
        <f>[8]STA_SP2_NO!$C$38</f>
        <v>0</v>
      </c>
      <c r="K9" s="61">
        <f>[9]STA_SP2_NO!$C$38</f>
        <v>19</v>
      </c>
      <c r="L9" s="390">
        <f>[10]STA_SP2_NO!$C$38</f>
        <v>0</v>
      </c>
      <c r="M9" s="332">
        <f>[11]STA_SP2_NO!$C$38</f>
        <v>1</v>
      </c>
      <c r="N9" s="249">
        <f t="shared" si="0"/>
        <v>41</v>
      </c>
    </row>
    <row r="10" spans="1:15" x14ac:dyDescent="0.25">
      <c r="A10" s="32">
        <v>6</v>
      </c>
      <c r="B10" s="33" t="s">
        <v>44</v>
      </c>
      <c r="C10" s="62">
        <f>[1]STA_SP2_NO!$C$39</f>
        <v>17</v>
      </c>
      <c r="D10" s="118">
        <f>[2]STA_SP2_NO!$C$39</f>
        <v>9</v>
      </c>
      <c r="E10" s="62">
        <f>[3]STA_SP2_NO!$C$39</f>
        <v>43</v>
      </c>
      <c r="F10" s="118">
        <f>[4]STA_SP2_NO!$C$39</f>
        <v>4</v>
      </c>
      <c r="G10" s="391">
        <f>[5]STA_SP2_NO!$C$39</f>
        <v>15</v>
      </c>
      <c r="H10" s="54">
        <f>[6]STA_SP2_NO!$C$39</f>
        <v>0</v>
      </c>
      <c r="I10" s="61">
        <f>[7]STA_SP2_NO!$C$39</f>
        <v>0</v>
      </c>
      <c r="J10" s="54">
        <f>[8]STA_SP2_NO!$C$39</f>
        <v>10</v>
      </c>
      <c r="K10" s="61">
        <f>[9]STA_SP2_NO!$C$39</f>
        <v>432</v>
      </c>
      <c r="L10" s="390">
        <f>[10]STA_SP2_NO!$C$39</f>
        <v>9</v>
      </c>
      <c r="M10" s="332">
        <f>[11]STA_SP2_NO!$C$39</f>
        <v>107</v>
      </c>
      <c r="N10" s="249">
        <f t="shared" si="0"/>
        <v>646</v>
      </c>
    </row>
    <row r="11" spans="1:15" x14ac:dyDescent="0.25">
      <c r="A11" s="32">
        <v>7</v>
      </c>
      <c r="B11" s="33" t="s">
        <v>45</v>
      </c>
      <c r="C11" s="62">
        <f>[1]STA_SP2_NO!$C$40</f>
        <v>29</v>
      </c>
      <c r="D11" s="118">
        <f>[2]STA_SP2_NO!$C$40</f>
        <v>1</v>
      </c>
      <c r="E11" s="62">
        <f>[3]STA_SP2_NO!$C$40</f>
        <v>97</v>
      </c>
      <c r="F11" s="118">
        <f>[4]STA_SP2_NO!$C$40</f>
        <v>12</v>
      </c>
      <c r="G11" s="391">
        <f>[5]STA_SP2_NO!$C$40</f>
        <v>9</v>
      </c>
      <c r="H11" s="54">
        <f>[6]STA_SP2_NO!$C$40</f>
        <v>0</v>
      </c>
      <c r="I11" s="61">
        <f>[7]STA_SP2_NO!$C$40</f>
        <v>0</v>
      </c>
      <c r="J11" s="54">
        <f>[8]STA_SP2_NO!$C$40</f>
        <v>7</v>
      </c>
      <c r="K11" s="61">
        <f>[9]STA_SP2_NO!$C$40</f>
        <v>297</v>
      </c>
      <c r="L11" s="390">
        <f>[10]STA_SP2_NO!$C$40</f>
        <v>6</v>
      </c>
      <c r="M11" s="332">
        <f>[11]STA_SP2_NO!$C$40</f>
        <v>22</v>
      </c>
      <c r="N11" s="249">
        <f t="shared" si="0"/>
        <v>480</v>
      </c>
    </row>
    <row r="12" spans="1:15" ht="15.75" thickBot="1" x14ac:dyDescent="0.3">
      <c r="A12" s="34">
        <v>8</v>
      </c>
      <c r="B12" s="35" t="s">
        <v>46</v>
      </c>
      <c r="C12" s="62">
        <f>[1]STA_SP2_NO!$C$41</f>
        <v>0</v>
      </c>
      <c r="D12" s="118">
        <f>[2]STA_SP2_NO!$C$41</f>
        <v>0</v>
      </c>
      <c r="E12" s="62">
        <f>[3]STA_SP2_NO!$C$41</f>
        <v>2</v>
      </c>
      <c r="F12" s="118">
        <f>[4]STA_SP2_NO!$C$41</f>
        <v>0</v>
      </c>
      <c r="G12" s="391">
        <f>[5]STA_SP2_NO!$C$41</f>
        <v>0</v>
      </c>
      <c r="H12" s="54">
        <f>[6]STA_SP2_NO!$C$41</f>
        <v>0</v>
      </c>
      <c r="I12" s="61">
        <f>[7]STA_SP2_NO!$C$41</f>
        <v>0</v>
      </c>
      <c r="J12" s="54">
        <f>[8]STA_SP2_NO!$C$41</f>
        <v>0</v>
      </c>
      <c r="K12" s="61">
        <f>[9]STA_SP2_NO!$C$41</f>
        <v>0</v>
      </c>
      <c r="L12" s="390">
        <f>[10]STA_SP2_NO!$C$41</f>
        <v>0</v>
      </c>
      <c r="M12" s="332">
        <f>[11]STA_SP2_NO!$C$41</f>
        <v>0</v>
      </c>
      <c r="N12" s="249">
        <f t="shared" si="0"/>
        <v>2</v>
      </c>
    </row>
    <row r="13" spans="1:15" ht="15.75" thickBot="1" x14ac:dyDescent="0.3">
      <c r="A13" s="36"/>
      <c r="B13" s="37" t="s">
        <v>37</v>
      </c>
      <c r="C13" s="41">
        <f t="shared" ref="C13:F13" si="1">SUM(C5:C12)</f>
        <v>637</v>
      </c>
      <c r="D13" s="39">
        <f t="shared" si="1"/>
        <v>212</v>
      </c>
      <c r="E13" s="41">
        <f t="shared" si="1"/>
        <v>39054</v>
      </c>
      <c r="F13" s="39">
        <f t="shared" si="1"/>
        <v>328</v>
      </c>
      <c r="G13" s="392">
        <f t="shared" ref="G13:M13" si="2">SUM(G5:G12)</f>
        <v>319</v>
      </c>
      <c r="H13" s="39">
        <f t="shared" si="2"/>
        <v>8269</v>
      </c>
      <c r="I13" s="41">
        <f t="shared" si="2"/>
        <v>796</v>
      </c>
      <c r="J13" s="39">
        <f t="shared" si="2"/>
        <v>174</v>
      </c>
      <c r="K13" s="41">
        <f t="shared" si="2"/>
        <v>5318</v>
      </c>
      <c r="L13" s="380">
        <f t="shared" si="2"/>
        <v>215</v>
      </c>
      <c r="M13" s="333">
        <f t="shared" si="2"/>
        <v>882</v>
      </c>
      <c r="N13" s="250">
        <f t="shared" si="0"/>
        <v>56204</v>
      </c>
    </row>
    <row r="14" spans="1:15" ht="15.75" thickBot="1" x14ac:dyDescent="0.3">
      <c r="A14" s="1"/>
      <c r="B14" s="1"/>
      <c r="C14" s="1"/>
      <c r="D14" s="1"/>
      <c r="E14" s="1"/>
      <c r="F14" s="1"/>
      <c r="G14" s="341"/>
      <c r="H14" s="1"/>
      <c r="I14" s="341"/>
      <c r="J14" s="1"/>
      <c r="K14" s="341"/>
      <c r="L14" s="1"/>
      <c r="M14" s="348"/>
      <c r="N14" s="1"/>
    </row>
    <row r="15" spans="1:15" ht="15.75" thickBot="1" x14ac:dyDescent="0.3">
      <c r="A15" s="467" t="s">
        <v>53</v>
      </c>
      <c r="B15" s="518"/>
      <c r="C15" s="55">
        <f>C13/N13</f>
        <v>1.1333712902996227E-2</v>
      </c>
      <c r="D15" s="56">
        <f>D13/N13</f>
        <v>3.7719735250160129E-3</v>
      </c>
      <c r="E15" s="48">
        <f>E13/N13</f>
        <v>0.6948615756885631</v>
      </c>
      <c r="F15" s="47">
        <f>F13/N13</f>
        <v>5.8358835670059067E-3</v>
      </c>
      <c r="G15" s="70">
        <f>G13/N13</f>
        <v>5.675752615472208E-3</v>
      </c>
      <c r="H15" s="47">
        <f>H13/N13</f>
        <v>0.1471247598035727</v>
      </c>
      <c r="I15" s="70">
        <f>I13/N13</f>
        <v>1.4162693046758238E-2</v>
      </c>
      <c r="J15" s="47">
        <f>J13/N13</f>
        <v>3.095865062984841E-3</v>
      </c>
      <c r="K15" s="70">
        <f>K13/N13</f>
        <v>9.4619600028467726E-2</v>
      </c>
      <c r="L15" s="389">
        <f>L13/N13</f>
        <v>3.8253505088605795E-3</v>
      </c>
      <c r="M15" s="342">
        <f>M13/N13</f>
        <v>1.569283325030247E-2</v>
      </c>
      <c r="N15" s="258">
        <f>SUM(C15:M15)</f>
        <v>1</v>
      </c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4" ht="15.75" thickBot="1" x14ac:dyDescent="0.3">
      <c r="A17" s="26"/>
      <c r="B17" s="26"/>
      <c r="C17" s="455" t="s">
        <v>109</v>
      </c>
      <c r="D17" s="456"/>
      <c r="E17" s="456"/>
      <c r="F17" s="456"/>
      <c r="G17" s="456"/>
      <c r="H17" s="456"/>
      <c r="I17" s="456"/>
      <c r="J17" s="457"/>
      <c r="K17" s="457"/>
      <c r="L17" s="26"/>
      <c r="M17" s="26"/>
      <c r="N17" s="155" t="s">
        <v>36</v>
      </c>
    </row>
    <row r="18" spans="1:14" ht="15.75" thickBot="1" x14ac:dyDescent="0.3">
      <c r="A18" s="458" t="s">
        <v>0</v>
      </c>
      <c r="B18" s="532" t="s">
        <v>1</v>
      </c>
      <c r="C18" s="377" t="s">
        <v>2</v>
      </c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505" t="s">
        <v>3</v>
      </c>
    </row>
    <row r="19" spans="1:14" x14ac:dyDescent="0.25">
      <c r="A19" s="497"/>
      <c r="B19" s="499"/>
      <c r="C19" s="531" t="s">
        <v>69</v>
      </c>
      <c r="D19" s="460" t="s">
        <v>4</v>
      </c>
      <c r="E19" s="501" t="s">
        <v>5</v>
      </c>
      <c r="F19" s="460" t="s">
        <v>6</v>
      </c>
      <c r="G19" s="501" t="s">
        <v>8</v>
      </c>
      <c r="H19" s="460" t="s">
        <v>94</v>
      </c>
      <c r="I19" s="501" t="s">
        <v>9</v>
      </c>
      <c r="J19" s="503" t="s">
        <v>10</v>
      </c>
      <c r="K19" s="501" t="s">
        <v>93</v>
      </c>
      <c r="L19" s="460" t="s">
        <v>11</v>
      </c>
      <c r="M19" s="528" t="s">
        <v>96</v>
      </c>
      <c r="N19" s="506"/>
    </row>
    <row r="20" spans="1:14" ht="15.75" thickBot="1" x14ac:dyDescent="0.3">
      <c r="A20" s="498"/>
      <c r="B20" s="500"/>
      <c r="C20" s="526"/>
      <c r="D20" s="498"/>
      <c r="E20" s="498"/>
      <c r="F20" s="498"/>
      <c r="G20" s="502"/>
      <c r="H20" s="461"/>
      <c r="I20" s="502"/>
      <c r="J20" s="504"/>
      <c r="K20" s="502"/>
      <c r="L20" s="461"/>
      <c r="M20" s="530"/>
      <c r="N20" s="507"/>
    </row>
    <row r="21" spans="1:14" x14ac:dyDescent="0.25">
      <c r="A21" s="30">
        <v>1</v>
      </c>
      <c r="B21" s="31" t="s">
        <v>39</v>
      </c>
      <c r="C21" s="62">
        <f>[1]STA_SP2_NO!$D$34</f>
        <v>3170.5</v>
      </c>
      <c r="D21" s="118">
        <f>[2]STA_SP2_NO!$D$34</f>
        <v>1366.53</v>
      </c>
      <c r="E21" s="62">
        <f>[3]STA_SP2_NO!$D$34</f>
        <v>123280</v>
      </c>
      <c r="F21" s="118">
        <f>[4]STA_SP2_NO!$D$34</f>
        <v>1880.34</v>
      </c>
      <c r="G21" s="391">
        <f>[5]STA_SP2_NO!$D$34</f>
        <v>1739</v>
      </c>
      <c r="H21" s="54">
        <f>[6]STA_SP2_NO!$D$34</f>
        <v>29126.18</v>
      </c>
      <c r="I21" s="61">
        <f>[7]STA_SP2_NO!$D$34</f>
        <v>4577</v>
      </c>
      <c r="J21" s="54">
        <f>[8]STA_SP2_NO!$D$34</f>
        <v>977</v>
      </c>
      <c r="K21" s="61">
        <f>[9]STA_SP2_NO!$D$34</f>
        <v>15341.36</v>
      </c>
      <c r="L21" s="390">
        <f>[10]STA_SP2_NO!$D$34</f>
        <v>1201</v>
      </c>
      <c r="M21" s="393">
        <f>[11]STA_SP2_NO!$D$34</f>
        <v>2364.6799999999998</v>
      </c>
      <c r="N21" s="249">
        <f t="shared" ref="N21:N29" si="3">SUM(C21:M21)</f>
        <v>185023.58999999997</v>
      </c>
    </row>
    <row r="22" spans="1:14" x14ac:dyDescent="0.25">
      <c r="A22" s="32">
        <v>2</v>
      </c>
      <c r="B22" s="33" t="s">
        <v>40</v>
      </c>
      <c r="C22" s="62">
        <f>[1]STA_SP2_NO!$D$35</f>
        <v>190.78</v>
      </c>
      <c r="D22" s="118">
        <f>[2]STA_SP2_NO!$D$35</f>
        <v>27.06</v>
      </c>
      <c r="E22" s="62">
        <f>[3]STA_SP2_NO!$D$35</f>
        <v>3765</v>
      </c>
      <c r="F22" s="118">
        <f>[4]STA_SP2_NO!$D$35</f>
        <v>22.15</v>
      </c>
      <c r="G22" s="391">
        <f>[5]STA_SP2_NO!$D$35</f>
        <v>14</v>
      </c>
      <c r="H22" s="54">
        <f>[6]STA_SP2_NO!$D$35</f>
        <v>0</v>
      </c>
      <c r="I22" s="61">
        <f>[7]STA_SP2_NO!$D$35</f>
        <v>0</v>
      </c>
      <c r="J22" s="54">
        <f>[8]STA_SP2_NO!$D$35</f>
        <v>22</v>
      </c>
      <c r="K22" s="61">
        <f>[9]STA_SP2_NO!$D$35</f>
        <v>368.22</v>
      </c>
      <c r="L22" s="390">
        <f>[10]STA_SP2_NO!$D$35</f>
        <v>52</v>
      </c>
      <c r="M22" s="393">
        <f>[11]STA_SP2_NO!$D$35</f>
        <v>7.38</v>
      </c>
      <c r="N22" s="249">
        <f t="shared" si="3"/>
        <v>4468.59</v>
      </c>
    </row>
    <row r="23" spans="1:14" x14ac:dyDescent="0.25">
      <c r="A23" s="32">
        <v>3</v>
      </c>
      <c r="B23" s="33" t="s">
        <v>41</v>
      </c>
      <c r="C23" s="62">
        <f>[1]STA_SP2_NO!$D$36</f>
        <v>17.89</v>
      </c>
      <c r="D23" s="118">
        <f>[2]STA_SP2_NO!$D$36</f>
        <v>0</v>
      </c>
      <c r="E23" s="62">
        <f>[3]STA_SP2_NO!$D$36</f>
        <v>326</v>
      </c>
      <c r="F23" s="118">
        <f>[4]STA_SP2_NO!$D$36</f>
        <v>17.850000000000001</v>
      </c>
      <c r="G23" s="391">
        <f>[5]STA_SP2_NO!$D$36</f>
        <v>0</v>
      </c>
      <c r="H23" s="54">
        <f>[6]STA_SP2_NO!$D$36</f>
        <v>0</v>
      </c>
      <c r="I23" s="61">
        <f>[7]STA_SP2_NO!$D$36</f>
        <v>0</v>
      </c>
      <c r="J23" s="54">
        <f>[8]STA_SP2_NO!$D$36</f>
        <v>0</v>
      </c>
      <c r="K23" s="61">
        <f>[9]STA_SP2_NO!$D$36</f>
        <v>102.25</v>
      </c>
      <c r="L23" s="390">
        <f>[10]STA_SP2_NO!$D$36</f>
        <v>0</v>
      </c>
      <c r="M23" s="393">
        <f>[11]STA_SP2_NO!$D$36</f>
        <v>17.829999999999998</v>
      </c>
      <c r="N23" s="249">
        <f t="shared" si="3"/>
        <v>481.82</v>
      </c>
    </row>
    <row r="24" spans="1:14" x14ac:dyDescent="0.25">
      <c r="A24" s="32">
        <v>4</v>
      </c>
      <c r="B24" s="33" t="s">
        <v>42</v>
      </c>
      <c r="C24" s="62">
        <f>[1]STA_SP2_NO!$D$37</f>
        <v>4.92</v>
      </c>
      <c r="D24" s="118">
        <f>[2]STA_SP2_NO!$D$37</f>
        <v>0</v>
      </c>
      <c r="E24" s="62">
        <f>[3]STA_SP2_NO!$D$37</f>
        <v>56</v>
      </c>
      <c r="F24" s="118">
        <f>[4]STA_SP2_NO!$D$37</f>
        <v>1.23</v>
      </c>
      <c r="G24" s="391">
        <f>[5]STA_SP2_NO!$D$37</f>
        <v>0</v>
      </c>
      <c r="H24" s="54">
        <f>[6]STA_SP2_NO!$D$37</f>
        <v>0</v>
      </c>
      <c r="I24" s="61">
        <f>[7]STA_SP2_NO!$D$37</f>
        <v>0</v>
      </c>
      <c r="J24" s="54">
        <f>[8]STA_SP2_NO!$D$37</f>
        <v>0</v>
      </c>
      <c r="K24" s="61">
        <f>[9]STA_SP2_NO!$D$37</f>
        <v>0</v>
      </c>
      <c r="L24" s="390">
        <f>[10]STA_SP2_NO!$D$37</f>
        <v>0</v>
      </c>
      <c r="M24" s="393">
        <f>[11]STA_SP2_NO!$D$37</f>
        <v>0.62</v>
      </c>
      <c r="N24" s="249">
        <f t="shared" si="3"/>
        <v>62.769999999999996</v>
      </c>
    </row>
    <row r="25" spans="1:14" x14ac:dyDescent="0.25">
      <c r="A25" s="32">
        <v>5</v>
      </c>
      <c r="B25" s="33" t="s">
        <v>43</v>
      </c>
      <c r="C25" s="62">
        <f>[1]STA_SP2_NO!$D$38</f>
        <v>0</v>
      </c>
      <c r="D25" s="118">
        <f>[2]STA_SP2_NO!$D$38</f>
        <v>0</v>
      </c>
      <c r="E25" s="62">
        <f>[3]STA_SP2_NO!$D$38</f>
        <v>137</v>
      </c>
      <c r="F25" s="118">
        <f>[4]STA_SP2_NO!$D$38</f>
        <v>0</v>
      </c>
      <c r="G25" s="391">
        <f>[5]STA_SP2_NO!$D$38</f>
        <v>0</v>
      </c>
      <c r="H25" s="54">
        <f>[6]STA_SP2_NO!$D$38</f>
        <v>0</v>
      </c>
      <c r="I25" s="61">
        <f>[7]STA_SP2_NO!$D$38</f>
        <v>0</v>
      </c>
      <c r="J25" s="54">
        <f>[8]STA_SP2_NO!$D$38</f>
        <v>0</v>
      </c>
      <c r="K25" s="61">
        <f>[9]STA_SP2_NO!$D$38</f>
        <v>46.82</v>
      </c>
      <c r="L25" s="390">
        <f>[10]STA_SP2_NO!$D$38</f>
        <v>0</v>
      </c>
      <c r="M25" s="393">
        <f>[11]STA_SP2_NO!$D$38</f>
        <v>2.46</v>
      </c>
      <c r="N25" s="249">
        <f t="shared" si="3"/>
        <v>186.28</v>
      </c>
    </row>
    <row r="26" spans="1:14" x14ac:dyDescent="0.25">
      <c r="A26" s="32">
        <v>6</v>
      </c>
      <c r="B26" s="33" t="s">
        <v>44</v>
      </c>
      <c r="C26" s="62">
        <f>[1]STA_SP2_NO!$D$39</f>
        <v>85.07</v>
      </c>
      <c r="D26" s="118">
        <f>[2]STA_SP2_NO!$D$39</f>
        <v>61.5</v>
      </c>
      <c r="E26" s="62">
        <f>[3]STA_SP2_NO!$D$39</f>
        <v>134</v>
      </c>
      <c r="F26" s="118">
        <f>[4]STA_SP2_NO!$D$39</f>
        <v>17.260000000000002</v>
      </c>
      <c r="G26" s="391">
        <f>[5]STA_SP2_NO!$D$39</f>
        <v>75</v>
      </c>
      <c r="H26" s="54">
        <f>[6]STA_SP2_NO!$D$39</f>
        <v>0</v>
      </c>
      <c r="I26" s="61">
        <f>[7]STA_SP2_NO!$D$39</f>
        <v>0</v>
      </c>
      <c r="J26" s="54">
        <f>[8]STA_SP2_NO!$D$39</f>
        <v>58</v>
      </c>
      <c r="K26" s="61">
        <f>[9]STA_SP2_NO!$D$39</f>
        <v>1360.32</v>
      </c>
      <c r="L26" s="390">
        <f>[10]STA_SP2_NO!$D$39</f>
        <v>54</v>
      </c>
      <c r="M26" s="393">
        <f>[11]STA_SP2_NO!$D$39</f>
        <v>329.03</v>
      </c>
      <c r="N26" s="249">
        <f t="shared" si="3"/>
        <v>2174.1799999999998</v>
      </c>
    </row>
    <row r="27" spans="1:14" x14ac:dyDescent="0.25">
      <c r="A27" s="32">
        <v>7</v>
      </c>
      <c r="B27" s="33" t="s">
        <v>45</v>
      </c>
      <c r="C27" s="62">
        <f>[1]STA_SP2_NO!$D$40</f>
        <v>21.55</v>
      </c>
      <c r="D27" s="118">
        <f>[2]STA_SP2_NO!$D$40</f>
        <v>0.61</v>
      </c>
      <c r="E27" s="62">
        <f>[3]STA_SP2_NO!$D$40</f>
        <v>63</v>
      </c>
      <c r="F27" s="118">
        <f>[4]STA_SP2_NO!$D$40</f>
        <v>10.47</v>
      </c>
      <c r="G27" s="391">
        <f>[5]STA_SP2_NO!$D$40</f>
        <v>7</v>
      </c>
      <c r="H27" s="54">
        <f>[6]STA_SP2_NO!$D$40</f>
        <v>0</v>
      </c>
      <c r="I27" s="61">
        <f>[7]STA_SP2_NO!$D$40</f>
        <v>0</v>
      </c>
      <c r="J27" s="54">
        <f>[8]STA_SP2_NO!$D$40</f>
        <v>7</v>
      </c>
      <c r="K27" s="61">
        <f>[9]STA_SP2_NO!$D$40</f>
        <v>526.51</v>
      </c>
      <c r="L27" s="390">
        <f>[10]STA_SP2_NO!$D$40</f>
        <v>9</v>
      </c>
      <c r="M27" s="393">
        <f>[11]STA_SP2_NO!$D$40</f>
        <v>13.53</v>
      </c>
      <c r="N27" s="249">
        <f t="shared" si="3"/>
        <v>658.67</v>
      </c>
    </row>
    <row r="28" spans="1:14" ht="15.75" thickBot="1" x14ac:dyDescent="0.3">
      <c r="A28" s="34">
        <v>8</v>
      </c>
      <c r="B28" s="35" t="s">
        <v>46</v>
      </c>
      <c r="C28" s="62">
        <f>[1]STA_SP2_NO!$D$41</f>
        <v>0</v>
      </c>
      <c r="D28" s="118">
        <f>[2]STA_SP2_NO!$D$41</f>
        <v>0</v>
      </c>
      <c r="E28" s="62">
        <f>[3]STA_SP2_NO!$D$41</f>
        <v>28</v>
      </c>
      <c r="F28" s="118">
        <f>[4]STA_SP2_NO!$D$41</f>
        <v>0</v>
      </c>
      <c r="G28" s="391">
        <f>[5]STA_SP2_NO!$D$41</f>
        <v>0</v>
      </c>
      <c r="H28" s="54">
        <f>[6]STA_SP2_NO!$D$41</f>
        <v>0</v>
      </c>
      <c r="I28" s="61">
        <f>[7]STA_SP2_NO!$D$41</f>
        <v>0</v>
      </c>
      <c r="J28" s="54">
        <f>[8]STA_SP2_NO!$D$41</f>
        <v>0</v>
      </c>
      <c r="K28" s="61">
        <f>[9]STA_SP2_NO!$D$41</f>
        <v>0</v>
      </c>
      <c r="L28" s="390">
        <f>[10]STA_SP2_NO!$D$41</f>
        <v>0</v>
      </c>
      <c r="M28" s="393">
        <f>[11]STA_SP2_NO!$D$41</f>
        <v>0</v>
      </c>
      <c r="N28" s="249">
        <f t="shared" si="3"/>
        <v>28</v>
      </c>
    </row>
    <row r="29" spans="1:14" ht="15.75" thickBot="1" x14ac:dyDescent="0.3">
      <c r="A29" s="36"/>
      <c r="B29" s="37" t="s">
        <v>37</v>
      </c>
      <c r="C29" s="41">
        <f t="shared" ref="C29:F29" si="4">SUM(C21:C28)</f>
        <v>3490.7100000000005</v>
      </c>
      <c r="D29" s="51">
        <f>SUM(D21:D28)</f>
        <v>1455.6999999999998</v>
      </c>
      <c r="E29" s="41">
        <f t="shared" si="4"/>
        <v>127789</v>
      </c>
      <c r="F29" s="39">
        <f t="shared" si="4"/>
        <v>1949.3</v>
      </c>
      <c r="G29" s="392">
        <f t="shared" ref="G29:M29" si="5">SUM(G21:G28)</f>
        <v>1835</v>
      </c>
      <c r="H29" s="39">
        <f t="shared" si="5"/>
        <v>29126.18</v>
      </c>
      <c r="I29" s="41">
        <f t="shared" si="5"/>
        <v>4577</v>
      </c>
      <c r="J29" s="39">
        <f t="shared" si="5"/>
        <v>1064</v>
      </c>
      <c r="K29" s="41">
        <f t="shared" si="5"/>
        <v>17745.48</v>
      </c>
      <c r="L29" s="380">
        <f t="shared" si="5"/>
        <v>1316</v>
      </c>
      <c r="M29" s="333">
        <f t="shared" si="5"/>
        <v>2735.53</v>
      </c>
      <c r="N29" s="250">
        <f t="shared" si="3"/>
        <v>193083.9</v>
      </c>
    </row>
    <row r="30" spans="1:14" ht="15.75" thickBot="1" x14ac:dyDescent="0.3">
      <c r="A30" s="1"/>
      <c r="B30" s="1"/>
      <c r="C30" s="1"/>
      <c r="D30" s="1"/>
      <c r="E30" s="1"/>
      <c r="F30" s="1"/>
      <c r="G30" s="341"/>
      <c r="H30" s="1"/>
      <c r="I30" s="341"/>
      <c r="J30" s="1"/>
      <c r="K30" s="341"/>
      <c r="L30" s="1"/>
      <c r="M30" s="348"/>
      <c r="N30" s="1"/>
    </row>
    <row r="31" spans="1:14" ht="15.75" thickBot="1" x14ac:dyDescent="0.3">
      <c r="A31" s="467" t="s">
        <v>53</v>
      </c>
      <c r="B31" s="518"/>
      <c r="C31" s="55">
        <f>C29/N29</f>
        <v>1.8078721219117702E-2</v>
      </c>
      <c r="D31" s="56">
        <f>D29/N29</f>
        <v>7.5392096389186244E-3</v>
      </c>
      <c r="E31" s="48">
        <f>E29/N29</f>
        <v>0.66183146290291428</v>
      </c>
      <c r="F31" s="47">
        <f>F29/N29</f>
        <v>1.0095611286078228E-2</v>
      </c>
      <c r="G31" s="70">
        <f>G29/N29</f>
        <v>9.503640645336044E-3</v>
      </c>
      <c r="H31" s="47">
        <f>H29/N29</f>
        <v>0.15084727416423638</v>
      </c>
      <c r="I31" s="70">
        <f>I29/N29</f>
        <v>2.3704721108285053E-2</v>
      </c>
      <c r="J31" s="47">
        <f>J29/N29</f>
        <v>5.5105578455790461E-3</v>
      </c>
      <c r="K31" s="70">
        <f>K29/N29</f>
        <v>9.190553950899065E-2</v>
      </c>
      <c r="L31" s="389">
        <f>L29/N29</f>
        <v>6.8156899669003998E-3</v>
      </c>
      <c r="M31" s="342">
        <f>M29/N29</f>
        <v>1.4167571713643657E-2</v>
      </c>
      <c r="N31" s="258">
        <f>SUM(C31:M31)</f>
        <v>1</v>
      </c>
    </row>
  </sheetData>
  <mergeCells count="33">
    <mergeCell ref="N18:N20"/>
    <mergeCell ref="L19:L20"/>
    <mergeCell ref="C2:M2"/>
    <mergeCell ref="M3:M4"/>
    <mergeCell ref="M19:M20"/>
    <mergeCell ref="G19:G20"/>
    <mergeCell ref="H19:H20"/>
    <mergeCell ref="I19:I20"/>
    <mergeCell ref="J19:J20"/>
    <mergeCell ref="N2:N4"/>
    <mergeCell ref="C3:C4"/>
    <mergeCell ref="D3:D4"/>
    <mergeCell ref="E3:E4"/>
    <mergeCell ref="F3:F4"/>
    <mergeCell ref="G3:G4"/>
    <mergeCell ref="L3:L4"/>
    <mergeCell ref="C1:K1"/>
    <mergeCell ref="A2:A4"/>
    <mergeCell ref="B2:B4"/>
    <mergeCell ref="H3:H4"/>
    <mergeCell ref="I3:I4"/>
    <mergeCell ref="J3:J4"/>
    <mergeCell ref="K3:K4"/>
    <mergeCell ref="A31:B31"/>
    <mergeCell ref="F19:F20"/>
    <mergeCell ref="A15:B15"/>
    <mergeCell ref="C17:K17"/>
    <mergeCell ref="A18:A20"/>
    <mergeCell ref="B18:B20"/>
    <mergeCell ref="C19:C20"/>
    <mergeCell ref="D19:D20"/>
    <mergeCell ref="E19:E20"/>
    <mergeCell ref="K19:K20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I27" sqref="I27"/>
    </sheetView>
  </sheetViews>
  <sheetFormatPr defaultRowHeight="15" x14ac:dyDescent="0.25"/>
  <cols>
    <col min="1" max="1" width="4.5703125" customWidth="1"/>
    <col min="2" max="2" width="26.7109375" customWidth="1"/>
  </cols>
  <sheetData>
    <row r="1" spans="1:14" ht="24.75" customHeight="1" thickBot="1" x14ac:dyDescent="0.3">
      <c r="A1" s="120"/>
      <c r="B1" s="120"/>
      <c r="C1" s="455" t="s">
        <v>110</v>
      </c>
      <c r="D1" s="456"/>
      <c r="E1" s="456"/>
      <c r="F1" s="456"/>
      <c r="G1" s="456"/>
      <c r="H1" s="456"/>
      <c r="I1" s="456"/>
      <c r="J1" s="535"/>
      <c r="K1" s="535"/>
      <c r="L1" s="120"/>
      <c r="M1" s="120"/>
      <c r="N1" s="121"/>
    </row>
    <row r="2" spans="1:14" ht="15.75" thickBot="1" x14ac:dyDescent="0.3">
      <c r="A2" s="458" t="s">
        <v>0</v>
      </c>
      <c r="B2" s="532" t="s">
        <v>1</v>
      </c>
      <c r="C2" s="377" t="s">
        <v>2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538" t="s">
        <v>3</v>
      </c>
    </row>
    <row r="3" spans="1:14" ht="15" customHeight="1" x14ac:dyDescent="0.25">
      <c r="A3" s="497"/>
      <c r="B3" s="499"/>
      <c r="C3" s="541" t="s">
        <v>69</v>
      </c>
      <c r="D3" s="542" t="s">
        <v>4</v>
      </c>
      <c r="E3" s="519" t="s">
        <v>5</v>
      </c>
      <c r="F3" s="460" t="s">
        <v>6</v>
      </c>
      <c r="G3" s="512" t="s">
        <v>8</v>
      </c>
      <c r="H3" s="460" t="s">
        <v>94</v>
      </c>
      <c r="I3" s="501" t="s">
        <v>9</v>
      </c>
      <c r="J3" s="520" t="s">
        <v>38</v>
      </c>
      <c r="K3" s="501" t="s">
        <v>93</v>
      </c>
      <c r="L3" s="460" t="s">
        <v>11</v>
      </c>
      <c r="M3" s="536" t="s">
        <v>96</v>
      </c>
      <c r="N3" s="539"/>
    </row>
    <row r="4" spans="1:14" ht="15.75" thickBot="1" x14ac:dyDescent="0.3">
      <c r="A4" s="498"/>
      <c r="B4" s="500"/>
      <c r="C4" s="509"/>
      <c r="D4" s="511"/>
      <c r="E4" s="498"/>
      <c r="F4" s="498"/>
      <c r="G4" s="513"/>
      <c r="H4" s="461"/>
      <c r="I4" s="502"/>
      <c r="J4" s="522"/>
      <c r="K4" s="502"/>
      <c r="L4" s="461"/>
      <c r="M4" s="537"/>
      <c r="N4" s="540"/>
    </row>
    <row r="5" spans="1:14" ht="15.75" thickBot="1" x14ac:dyDescent="0.3">
      <c r="A5" s="30">
        <v>1</v>
      </c>
      <c r="B5" s="31" t="s">
        <v>39</v>
      </c>
      <c r="C5" s="117">
        <f>[1]STA_SP2_NO!$J$11</f>
        <v>4200</v>
      </c>
      <c r="D5" s="68">
        <f>[2]STA_SP2_NO!$J$11</f>
        <v>1962</v>
      </c>
      <c r="E5" s="117">
        <f>[3]STA_SP2_NO!$J$11</f>
        <v>1646</v>
      </c>
      <c r="F5" s="118">
        <f>[4]STA_SP2_NO!$J$11</f>
        <v>2051</v>
      </c>
      <c r="G5" s="385">
        <f>[5]STA_SP2_NO!$J$11</f>
        <v>2044</v>
      </c>
      <c r="H5" s="126">
        <f>[6]STA_SP2_NO!$J$11</f>
        <v>3140</v>
      </c>
      <c r="I5" s="143">
        <f>[7]STA_SP2_NO!$J$11</f>
        <v>4727</v>
      </c>
      <c r="J5" s="126">
        <f>[8]STA_SP2_NO!$J$11</f>
        <v>2250</v>
      </c>
      <c r="K5" s="143">
        <f>[9]STA_SP2_NO!$J$11</f>
        <v>1627</v>
      </c>
      <c r="L5" s="379">
        <f>[10]STA_SP2_NO!$J$11</f>
        <v>2831</v>
      </c>
      <c r="M5" s="394">
        <f>[11]STA_SP2_NO!$J$11</f>
        <v>196</v>
      </c>
      <c r="N5" s="397">
        <f t="shared" ref="N5:N18" si="0">SUM(C5:M5)</f>
        <v>26674</v>
      </c>
    </row>
    <row r="6" spans="1:14" ht="15.75" thickBot="1" x14ac:dyDescent="0.3">
      <c r="A6" s="32">
        <v>2</v>
      </c>
      <c r="B6" s="33" t="s">
        <v>40</v>
      </c>
      <c r="C6" s="117">
        <f>[1]STA_SP2_NO!$J$12</f>
        <v>519</v>
      </c>
      <c r="D6" s="68">
        <f>[2]STA_SP2_NO!$J$12</f>
        <v>308</v>
      </c>
      <c r="E6" s="117">
        <f>[3]STA_SP2_NO!$J$12</f>
        <v>201</v>
      </c>
      <c r="F6" s="118">
        <f>[4]STA_SP2_NO!$J$12</f>
        <v>381</v>
      </c>
      <c r="G6" s="385">
        <f>[5]STA_SP2_NO!$J$12</f>
        <v>265</v>
      </c>
      <c r="H6" s="126">
        <f>[6]STA_SP2_NO!$J$12</f>
        <v>257</v>
      </c>
      <c r="I6" s="143">
        <f>[7]STA_SP2_NO!$J$12</f>
        <v>565</v>
      </c>
      <c r="J6" s="126">
        <f>[8]STA_SP2_NO!$J$12</f>
        <v>258</v>
      </c>
      <c r="K6" s="143">
        <f>[9]STA_SP2_NO!$J$12</f>
        <v>182</v>
      </c>
      <c r="L6" s="379">
        <f>[10]STA_SP2_NO!$J$12</f>
        <v>277</v>
      </c>
      <c r="M6" s="394">
        <f>[11]STA_SP2_NO!$J$12</f>
        <v>34</v>
      </c>
      <c r="N6" s="397">
        <f t="shared" si="0"/>
        <v>3247</v>
      </c>
    </row>
    <row r="7" spans="1:14" ht="15.75" thickBot="1" x14ac:dyDescent="0.3">
      <c r="A7" s="32">
        <v>3</v>
      </c>
      <c r="B7" s="33" t="s">
        <v>41</v>
      </c>
      <c r="C7" s="117">
        <f>[1]STA_SP2_NO!$J$13</f>
        <v>57</v>
      </c>
      <c r="D7" s="68">
        <f>[2]STA_SP2_NO!$J$13</f>
        <v>18</v>
      </c>
      <c r="E7" s="117">
        <f>[3]STA_SP2_NO!$J$13</f>
        <v>10</v>
      </c>
      <c r="F7" s="118">
        <f>[4]STA_SP2_NO!$J$13</f>
        <v>38</v>
      </c>
      <c r="G7" s="385">
        <f>[5]STA_SP2_NO!$J$13</f>
        <v>12</v>
      </c>
      <c r="H7" s="126">
        <f>[6]STA_SP2_NO!$J$13</f>
        <v>30</v>
      </c>
      <c r="I7" s="143">
        <f>[7]STA_SP2_NO!$J$13</f>
        <v>96</v>
      </c>
      <c r="J7" s="126">
        <f>[8]STA_SP2_NO!$J$13</f>
        <v>31</v>
      </c>
      <c r="K7" s="143">
        <f>[9]STA_SP2_NO!$J$13</f>
        <v>14</v>
      </c>
      <c r="L7" s="379">
        <f>[10]STA_SP2_NO!$J$13</f>
        <v>12</v>
      </c>
      <c r="M7" s="394">
        <f>[11]STA_SP2_NO!$J$13</f>
        <v>1</v>
      </c>
      <c r="N7" s="397">
        <f t="shared" si="0"/>
        <v>319</v>
      </c>
    </row>
    <row r="8" spans="1:14" ht="15.75" thickBot="1" x14ac:dyDescent="0.3">
      <c r="A8" s="32">
        <v>4</v>
      </c>
      <c r="B8" s="33" t="s">
        <v>42</v>
      </c>
      <c r="C8" s="117">
        <f>[1]STA_SP2_NO!$J$14</f>
        <v>20</v>
      </c>
      <c r="D8" s="68">
        <f>[2]STA_SP2_NO!$J$14</f>
        <v>7</v>
      </c>
      <c r="E8" s="117">
        <f>[3]STA_SP2_NO!$J$14</f>
        <v>3</v>
      </c>
      <c r="F8" s="118">
        <f>[4]STA_SP2_NO!$J$14</f>
        <v>15</v>
      </c>
      <c r="G8" s="385">
        <f>[5]STA_SP2_NO!$J$14</f>
        <v>9</v>
      </c>
      <c r="H8" s="126">
        <f>[6]STA_SP2_NO!$J$14</f>
        <v>7</v>
      </c>
      <c r="I8" s="143">
        <f>[7]STA_SP2_NO!$J$14</f>
        <v>9</v>
      </c>
      <c r="J8" s="126">
        <f>[8]STA_SP2_NO!$J$14</f>
        <v>11</v>
      </c>
      <c r="K8" s="143">
        <f>[9]STA_SP2_NO!$J$14</f>
        <v>3</v>
      </c>
      <c r="L8" s="379">
        <f>[10]STA_SP2_NO!$J$14</f>
        <v>13</v>
      </c>
      <c r="M8" s="394">
        <f>[11]STA_SP2_NO!$J$14</f>
        <v>0</v>
      </c>
      <c r="N8" s="397">
        <f t="shared" si="0"/>
        <v>97</v>
      </c>
    </row>
    <row r="9" spans="1:14" ht="15.75" thickBot="1" x14ac:dyDescent="0.3">
      <c r="A9" s="32">
        <v>5</v>
      </c>
      <c r="B9" s="33" t="s">
        <v>43</v>
      </c>
      <c r="C9" s="117">
        <f>[1]STA_SP2_NO!$J$15</f>
        <v>3</v>
      </c>
      <c r="D9" s="68">
        <f>[2]STA_SP2_NO!$J$15</f>
        <v>0</v>
      </c>
      <c r="E9" s="117">
        <f>[3]STA_SP2_NO!$J$15</f>
        <v>1</v>
      </c>
      <c r="F9" s="118">
        <f>[4]STA_SP2_NO!$J$15</f>
        <v>4</v>
      </c>
      <c r="G9" s="385">
        <f>[5]STA_SP2_NO!$J$15</f>
        <v>0</v>
      </c>
      <c r="H9" s="126">
        <f>[6]STA_SP2_NO!$J$15</f>
        <v>12</v>
      </c>
      <c r="I9" s="143">
        <f>[7]STA_SP2_NO!$J$15</f>
        <v>3</v>
      </c>
      <c r="J9" s="126">
        <f>[8]STA_SP2_NO!$J$15</f>
        <v>19</v>
      </c>
      <c r="K9" s="143">
        <f>[9]STA_SP2_NO!$J$15</f>
        <v>3</v>
      </c>
      <c r="L9" s="379">
        <f>[10]STA_SP2_NO!$J$15</f>
        <v>1</v>
      </c>
      <c r="M9" s="394">
        <f>[11]STA_SP2_NO!$J$15</f>
        <v>0</v>
      </c>
      <c r="N9" s="397">
        <f t="shared" si="0"/>
        <v>46</v>
      </c>
    </row>
    <row r="10" spans="1:14" ht="15.75" thickBot="1" x14ac:dyDescent="0.3">
      <c r="A10" s="32">
        <v>6</v>
      </c>
      <c r="B10" s="33" t="s">
        <v>44</v>
      </c>
      <c r="C10" s="117">
        <f>[1]STA_SP2_NO!$J$16</f>
        <v>62</v>
      </c>
      <c r="D10" s="68">
        <f>[2]STA_SP2_NO!$J$16</f>
        <v>39</v>
      </c>
      <c r="E10" s="117">
        <f>[3]STA_SP2_NO!$J$16</f>
        <v>14</v>
      </c>
      <c r="F10" s="118">
        <f>[4]STA_SP2_NO!$J$16</f>
        <v>25</v>
      </c>
      <c r="G10" s="385">
        <f>[5]STA_SP2_NO!$J$16</f>
        <v>16</v>
      </c>
      <c r="H10" s="126">
        <f>[6]STA_SP2_NO!$J$16</f>
        <v>62</v>
      </c>
      <c r="I10" s="143">
        <f>[7]STA_SP2_NO!$J$16</f>
        <v>70</v>
      </c>
      <c r="J10" s="126">
        <f>[8]STA_SP2_NO!$J$16</f>
        <v>29</v>
      </c>
      <c r="K10" s="143">
        <f>[9]STA_SP2_NO!$J$16</f>
        <v>18</v>
      </c>
      <c r="L10" s="379">
        <f>[10]STA_SP2_NO!$J$16</f>
        <v>62</v>
      </c>
      <c r="M10" s="394">
        <f>[11]STA_SP2_NO!$J$16</f>
        <v>1</v>
      </c>
      <c r="N10" s="397">
        <f t="shared" si="0"/>
        <v>398</v>
      </c>
    </row>
    <row r="11" spans="1:14" ht="15.75" thickBot="1" x14ac:dyDescent="0.3">
      <c r="A11" s="32">
        <v>7</v>
      </c>
      <c r="B11" s="33" t="s">
        <v>45</v>
      </c>
      <c r="C11" s="117">
        <f>[1]STA_SP2_NO!$J$17</f>
        <v>0</v>
      </c>
      <c r="D11" s="68">
        <f>[2]STA_SP2_NO!$J$17</f>
        <v>3</v>
      </c>
      <c r="E11" s="117">
        <f>[3]STA_SP2_NO!$J$17</f>
        <v>1</v>
      </c>
      <c r="F11" s="118">
        <f>[4]STA_SP2_NO!$J$17</f>
        <v>0</v>
      </c>
      <c r="G11" s="385">
        <f>[5]STA_SP2_NO!$J$17</f>
        <v>0</v>
      </c>
      <c r="H11" s="126">
        <f>[6]STA_SP2_NO!$J$17</f>
        <v>7</v>
      </c>
      <c r="I11" s="143">
        <f>[7]STA_SP2_NO!$J$17</f>
        <v>3</v>
      </c>
      <c r="J11" s="126">
        <f>[8]STA_SP2_NO!$J$17</f>
        <v>3</v>
      </c>
      <c r="K11" s="143">
        <f>[9]STA_SP2_NO!$J$17</f>
        <v>4</v>
      </c>
      <c r="L11" s="379">
        <f>[10]STA_SP2_NO!$J$17</f>
        <v>2</v>
      </c>
      <c r="M11" s="394">
        <f>[11]STA_SP2_NO!$J$17</f>
        <v>0</v>
      </c>
      <c r="N11" s="397">
        <f t="shared" si="0"/>
        <v>23</v>
      </c>
    </row>
    <row r="12" spans="1:14" ht="15.75" thickBot="1" x14ac:dyDescent="0.3">
      <c r="A12" s="32">
        <v>8</v>
      </c>
      <c r="B12" s="33" t="s">
        <v>46</v>
      </c>
      <c r="C12" s="117">
        <f>[1]STA_SP2_NO!$J$18</f>
        <v>25</v>
      </c>
      <c r="D12" s="68">
        <f>[2]STA_SP2_NO!$J$18</f>
        <v>5</v>
      </c>
      <c r="E12" s="117">
        <f>[3]STA_SP2_NO!$J$18</f>
        <v>42</v>
      </c>
      <c r="F12" s="118">
        <f>[4]STA_SP2_NO!$J$18</f>
        <v>13</v>
      </c>
      <c r="G12" s="385">
        <f>[5]STA_SP2_NO!$J$18</f>
        <v>4</v>
      </c>
      <c r="H12" s="126">
        <f>[6]STA_SP2_NO!$J$18</f>
        <v>0</v>
      </c>
      <c r="I12" s="143">
        <f>[7]STA_SP2_NO!$J$18</f>
        <v>21</v>
      </c>
      <c r="J12" s="126">
        <f>[8]STA_SP2_NO!$J$18</f>
        <v>50</v>
      </c>
      <c r="K12" s="143">
        <f>[9]STA_SP2_NO!$J$18</f>
        <v>0</v>
      </c>
      <c r="L12" s="379">
        <f>[10]STA_SP2_NO!$J$18</f>
        <v>8</v>
      </c>
      <c r="M12" s="394">
        <f>[11]STA_SP2_NO!$J$18</f>
        <v>1</v>
      </c>
      <c r="N12" s="397">
        <f t="shared" si="0"/>
        <v>169</v>
      </c>
    </row>
    <row r="13" spans="1:14" ht="23.25" thickBot="1" x14ac:dyDescent="0.3">
      <c r="A13" s="32">
        <v>9</v>
      </c>
      <c r="B13" s="53" t="s">
        <v>47</v>
      </c>
      <c r="C13" s="117">
        <f>[1]STA_SP2_NO!$J$19</f>
        <v>0</v>
      </c>
      <c r="D13" s="68">
        <f>[2]STA_SP2_NO!$J$19</f>
        <v>0</v>
      </c>
      <c r="E13" s="117">
        <f>[3]STA_SP2_NO!$J$19</f>
        <v>0</v>
      </c>
      <c r="F13" s="118">
        <f>[4]STA_SP2_NO!$J$19</f>
        <v>0</v>
      </c>
      <c r="G13" s="385">
        <f>[5]STA_SP2_NO!$J$19</f>
        <v>0</v>
      </c>
      <c r="H13" s="126">
        <f>[6]STA_SP2_NO!$J$19</f>
        <v>0</v>
      </c>
      <c r="I13" s="143">
        <f>[7]STA_SP2_NO!$J$19</f>
        <v>0</v>
      </c>
      <c r="J13" s="126">
        <f>[8]STA_SP2_NO!$J$19</f>
        <v>0</v>
      </c>
      <c r="K13" s="143">
        <f>[9]STA_SP2_NO!$J$19</f>
        <v>0</v>
      </c>
      <c r="L13" s="379">
        <f>[10]STA_SP2_NO!$J$19</f>
        <v>0</v>
      </c>
      <c r="M13" s="394">
        <f>[11]STA_SP2_NO!$J$19</f>
        <v>0</v>
      </c>
      <c r="N13" s="397">
        <f t="shared" si="0"/>
        <v>0</v>
      </c>
    </row>
    <row r="14" spans="1:14" ht="27" customHeight="1" thickBot="1" x14ac:dyDescent="0.3">
      <c r="A14" s="32">
        <v>10</v>
      </c>
      <c r="B14" s="53" t="s">
        <v>48</v>
      </c>
      <c r="C14" s="117">
        <f>[1]STA_SP2_NO!$J$20</f>
        <v>0</v>
      </c>
      <c r="D14" s="68">
        <f>[2]STA_SP2_NO!$J$20</f>
        <v>0</v>
      </c>
      <c r="E14" s="117">
        <f>[3]STA_SP2_NO!$J$20</f>
        <v>0</v>
      </c>
      <c r="F14" s="118">
        <f>[4]STA_SP2_NO!$J$20</f>
        <v>0</v>
      </c>
      <c r="G14" s="385">
        <f>[5]STA_SP2_NO!$J$20</f>
        <v>0</v>
      </c>
      <c r="H14" s="126">
        <f>[6]STA_SP2_NO!$J$20</f>
        <v>0</v>
      </c>
      <c r="I14" s="143">
        <f>[7]STA_SP2_NO!$J$20</f>
        <v>0</v>
      </c>
      <c r="J14" s="126">
        <f>[8]STA_SP2_NO!$J$20</f>
        <v>0</v>
      </c>
      <c r="K14" s="143">
        <f>[9]STA_SP2_NO!$J$20</f>
        <v>0</v>
      </c>
      <c r="L14" s="379">
        <f>[10]STA_SP2_NO!$J$20</f>
        <v>0</v>
      </c>
      <c r="M14" s="394">
        <f>[11]STA_SP2_NO!$J$20</f>
        <v>0</v>
      </c>
      <c r="N14" s="397">
        <f t="shared" si="0"/>
        <v>0</v>
      </c>
    </row>
    <row r="15" spans="1:14" ht="15.75" thickBot="1" x14ac:dyDescent="0.3">
      <c r="A15" s="32">
        <v>11</v>
      </c>
      <c r="B15" s="33" t="s">
        <v>49</v>
      </c>
      <c r="C15" s="117">
        <f>[1]STA_SP2_NO!$J$21</f>
        <v>0</v>
      </c>
      <c r="D15" s="68">
        <f>[2]STA_SP2_NO!$J$21</f>
        <v>0</v>
      </c>
      <c r="E15" s="117">
        <f>[3]STA_SP2_NO!$J$21</f>
        <v>0</v>
      </c>
      <c r="F15" s="118">
        <f>[4]STA_SP2_NO!$J$21</f>
        <v>0</v>
      </c>
      <c r="G15" s="385">
        <f>[5]STA_SP2_NO!$J$21</f>
        <v>2</v>
      </c>
      <c r="H15" s="126">
        <f>[6]STA_SP2_NO!$J$21</f>
        <v>0</v>
      </c>
      <c r="I15" s="143">
        <f>[7]STA_SP2_NO!$J$21</f>
        <v>0</v>
      </c>
      <c r="J15" s="126">
        <f>[8]STA_SP2_NO!$J$21</f>
        <v>0</v>
      </c>
      <c r="K15" s="143">
        <f>[9]STA_SP2_NO!$J$21</f>
        <v>0</v>
      </c>
      <c r="L15" s="379">
        <f>[10]STA_SP2_NO!$J$21</f>
        <v>0</v>
      </c>
      <c r="M15" s="394">
        <f>[11]STA_SP2_NO!$J$21</f>
        <v>0</v>
      </c>
      <c r="N15" s="397">
        <f t="shared" si="0"/>
        <v>2</v>
      </c>
    </row>
    <row r="16" spans="1:14" ht="57" thickBot="1" x14ac:dyDescent="0.3">
      <c r="A16" s="32">
        <v>12</v>
      </c>
      <c r="B16" s="53" t="s">
        <v>50</v>
      </c>
      <c r="C16" s="117">
        <f>[1]STA_SP2_NO!$J$22</f>
        <v>0</v>
      </c>
      <c r="D16" s="68">
        <f>[2]STA_SP2_NO!$J$22</f>
        <v>0</v>
      </c>
      <c r="E16" s="117">
        <f>[3]STA_SP2_NO!$J$22</f>
        <v>0</v>
      </c>
      <c r="F16" s="118">
        <f>[4]STA_SP2_NO!$J$22</f>
        <v>0</v>
      </c>
      <c r="G16" s="385">
        <f>[5]STA_SP2_NO!$J$22</f>
        <v>0</v>
      </c>
      <c r="H16" s="126">
        <f>[6]STA_SP2_NO!$J$22</f>
        <v>0</v>
      </c>
      <c r="I16" s="143">
        <f>[7]STA_SP2_NO!$J$22</f>
        <v>0</v>
      </c>
      <c r="J16" s="126">
        <f>[8]STA_SP2_NO!$J$22</f>
        <v>0</v>
      </c>
      <c r="K16" s="143">
        <f>[9]STA_SP2_NO!$J$22</f>
        <v>0</v>
      </c>
      <c r="L16" s="379">
        <f>[10]STA_SP2_NO!$J$22</f>
        <v>0</v>
      </c>
      <c r="M16" s="395">
        <f>[11]STA_SP2_NO!$J$22</f>
        <v>0</v>
      </c>
      <c r="N16" s="397">
        <f t="shared" si="0"/>
        <v>0</v>
      </c>
    </row>
    <row r="17" spans="1:14" ht="34.5" thickBot="1" x14ac:dyDescent="0.3">
      <c r="A17" s="32">
        <v>13</v>
      </c>
      <c r="B17" s="53" t="s">
        <v>51</v>
      </c>
      <c r="C17" s="117">
        <f>[1]STA_SP2_NO!$J$23</f>
        <v>0</v>
      </c>
      <c r="D17" s="68">
        <f>[2]STA_SP2_NO!$J$23</f>
        <v>0</v>
      </c>
      <c r="E17" s="117">
        <f>[3]STA_SP2_NO!$J$23</f>
        <v>0</v>
      </c>
      <c r="F17" s="118">
        <f>[4]STA_SP2_NO!$J$23</f>
        <v>0</v>
      </c>
      <c r="G17" s="385">
        <f>[5]STA_SP2_NO!$J$23</f>
        <v>0</v>
      </c>
      <c r="H17" s="126">
        <f>[6]STA_SP2_NO!$J$23</f>
        <v>0</v>
      </c>
      <c r="I17" s="143">
        <f>[7]STA_SP2_NO!$J$23</f>
        <v>0</v>
      </c>
      <c r="J17" s="126">
        <f>[8]STA_SP2_NO!$J$23</f>
        <v>0</v>
      </c>
      <c r="K17" s="143">
        <f>[9]STA_SP2_NO!$J$23</f>
        <v>0</v>
      </c>
      <c r="L17" s="379">
        <f>[10]STA_SP2_NO!$J$23</f>
        <v>0</v>
      </c>
      <c r="M17" s="395">
        <f>[11]STA_SP2_NO!$J$23</f>
        <v>0</v>
      </c>
      <c r="N17" s="397">
        <f t="shared" si="0"/>
        <v>0</v>
      </c>
    </row>
    <row r="18" spans="1:14" ht="15.75" thickBot="1" x14ac:dyDescent="0.3">
      <c r="A18" s="36"/>
      <c r="B18" s="37" t="s">
        <v>37</v>
      </c>
      <c r="C18" s="41">
        <f t="shared" ref="C18:F18" si="1">SUM(C5:C17)</f>
        <v>4886</v>
      </c>
      <c r="D18" s="42">
        <f t="shared" si="1"/>
        <v>2342</v>
      </c>
      <c r="E18" s="41">
        <f t="shared" si="1"/>
        <v>1918</v>
      </c>
      <c r="F18" s="39">
        <f t="shared" si="1"/>
        <v>2527</v>
      </c>
      <c r="G18" s="40">
        <f t="shared" ref="G18:M18" si="2">SUM(G5:G17)</f>
        <v>2352</v>
      </c>
      <c r="H18" s="39">
        <f t="shared" si="2"/>
        <v>3515</v>
      </c>
      <c r="I18" s="40">
        <f t="shared" si="2"/>
        <v>5494</v>
      </c>
      <c r="J18" s="39">
        <f t="shared" si="2"/>
        <v>2651</v>
      </c>
      <c r="K18" s="40">
        <f t="shared" si="2"/>
        <v>1851</v>
      </c>
      <c r="L18" s="380">
        <f t="shared" si="2"/>
        <v>3206</v>
      </c>
      <c r="M18" s="396">
        <f t="shared" si="2"/>
        <v>233</v>
      </c>
      <c r="N18" s="234">
        <f t="shared" si="0"/>
        <v>30975</v>
      </c>
    </row>
    <row r="19" spans="1:14" ht="15.75" thickBot="1" x14ac:dyDescent="0.3">
      <c r="A19" s="108"/>
      <c r="B19" s="109"/>
      <c r="C19" s="46"/>
      <c r="D19" s="40"/>
      <c r="E19" s="46"/>
      <c r="F19" s="40"/>
      <c r="G19" s="40"/>
      <c r="H19" s="46"/>
      <c r="I19" s="40"/>
      <c r="J19" s="46"/>
      <c r="K19" s="40"/>
      <c r="L19" s="46"/>
      <c r="M19" s="348"/>
      <c r="N19" s="46"/>
    </row>
    <row r="20" spans="1:14" ht="15.75" thickBot="1" x14ac:dyDescent="0.3">
      <c r="A20" s="533" t="s">
        <v>53</v>
      </c>
      <c r="B20" s="534"/>
      <c r="C20" s="55">
        <f>C18/N18</f>
        <v>0.15774011299435028</v>
      </c>
      <c r="D20" s="56">
        <f>D18/N18</f>
        <v>7.560936238902341E-2</v>
      </c>
      <c r="E20" s="48">
        <f>E18/N18</f>
        <v>6.1920903954802257E-2</v>
      </c>
      <c r="F20" s="47">
        <f>F18/N18</f>
        <v>8.1581920903954802E-2</v>
      </c>
      <c r="G20" s="70">
        <f>G18/N18</f>
        <v>7.5932203389830505E-2</v>
      </c>
      <c r="H20" s="47">
        <f>H18/N18</f>
        <v>0.11347861178369653</v>
      </c>
      <c r="I20" s="70">
        <f>I18/N18</f>
        <v>0.17736884584342211</v>
      </c>
      <c r="J20" s="47">
        <f>J18/N18</f>
        <v>8.5585149313962869E-2</v>
      </c>
      <c r="K20" s="70">
        <f>K18/N18</f>
        <v>5.975786924939467E-2</v>
      </c>
      <c r="L20" s="389">
        <f>L18/N18</f>
        <v>0.10350282485875706</v>
      </c>
      <c r="M20" s="342">
        <f>M18/N18</f>
        <v>7.5221953188054887E-3</v>
      </c>
      <c r="N20" s="258">
        <f>SUM(C20:M20)</f>
        <v>1</v>
      </c>
    </row>
  </sheetData>
  <mergeCells count="16">
    <mergeCell ref="M3:M4"/>
    <mergeCell ref="N2:N4"/>
    <mergeCell ref="C3:C4"/>
    <mergeCell ref="D3:D4"/>
    <mergeCell ref="E3:E4"/>
    <mergeCell ref="F3:F4"/>
    <mergeCell ref="G3:G4"/>
    <mergeCell ref="L3:L4"/>
    <mergeCell ref="A20:B20"/>
    <mergeCell ref="C1:K1"/>
    <mergeCell ref="A2:A4"/>
    <mergeCell ref="B2:B4"/>
    <mergeCell ref="H3:H4"/>
    <mergeCell ref="I3:I4"/>
    <mergeCell ref="J3:J4"/>
    <mergeCell ref="K3:K4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K24" sqref="K24"/>
    </sheetView>
  </sheetViews>
  <sheetFormatPr defaultRowHeight="15" x14ac:dyDescent="0.25"/>
  <cols>
    <col min="1" max="1" width="2.85546875" customWidth="1"/>
    <col min="2" max="2" width="26.5703125" customWidth="1"/>
    <col min="6" max="6" width="9.5703125" bestFit="1" customWidth="1"/>
    <col min="11" max="11" width="9.5703125" bestFit="1" customWidth="1"/>
    <col min="14" max="14" width="8.5703125" customWidth="1"/>
  </cols>
  <sheetData>
    <row r="1" spans="1:14" ht="32.25" customHeight="1" thickBot="1" x14ac:dyDescent="0.3">
      <c r="A1" s="120" t="s">
        <v>67</v>
      </c>
      <c r="B1" s="26"/>
      <c r="C1" s="455" t="s">
        <v>111</v>
      </c>
      <c r="D1" s="456"/>
      <c r="E1" s="456"/>
      <c r="F1" s="456"/>
      <c r="G1" s="456"/>
      <c r="H1" s="456"/>
      <c r="I1" s="456"/>
      <c r="J1" s="457"/>
      <c r="K1" s="457"/>
      <c r="L1" s="26"/>
      <c r="M1" s="26"/>
      <c r="N1" s="155" t="s">
        <v>36</v>
      </c>
    </row>
    <row r="2" spans="1:14" ht="15.75" thickBot="1" x14ac:dyDescent="0.3">
      <c r="A2" s="458" t="s">
        <v>0</v>
      </c>
      <c r="B2" s="460" t="s">
        <v>1</v>
      </c>
      <c r="C2" s="493" t="s">
        <v>2</v>
      </c>
      <c r="D2" s="494"/>
      <c r="E2" s="494"/>
      <c r="F2" s="494"/>
      <c r="G2" s="494"/>
      <c r="H2" s="494"/>
      <c r="I2" s="494"/>
      <c r="J2" s="494"/>
      <c r="K2" s="494"/>
      <c r="L2" s="494"/>
      <c r="M2" s="495"/>
      <c r="N2" s="505" t="s">
        <v>3</v>
      </c>
    </row>
    <row r="3" spans="1:14" ht="24" customHeight="1" x14ac:dyDescent="0.25">
      <c r="A3" s="497"/>
      <c r="B3" s="499"/>
      <c r="C3" s="541" t="s">
        <v>69</v>
      </c>
      <c r="D3" s="542" t="s">
        <v>4</v>
      </c>
      <c r="E3" s="519" t="s">
        <v>5</v>
      </c>
      <c r="F3" s="460" t="s">
        <v>6</v>
      </c>
      <c r="G3" s="501" t="s">
        <v>8</v>
      </c>
      <c r="H3" s="460" t="s">
        <v>94</v>
      </c>
      <c r="I3" s="501" t="s">
        <v>9</v>
      </c>
      <c r="J3" s="520" t="s">
        <v>38</v>
      </c>
      <c r="K3" s="501" t="s">
        <v>93</v>
      </c>
      <c r="L3" s="460" t="s">
        <v>11</v>
      </c>
      <c r="M3" s="528" t="s">
        <v>96</v>
      </c>
      <c r="N3" s="506"/>
    </row>
    <row r="4" spans="1:14" ht="15.75" thickBot="1" x14ac:dyDescent="0.3">
      <c r="A4" s="498"/>
      <c r="B4" s="500"/>
      <c r="C4" s="509"/>
      <c r="D4" s="511"/>
      <c r="E4" s="498"/>
      <c r="F4" s="498"/>
      <c r="G4" s="502"/>
      <c r="H4" s="461"/>
      <c r="I4" s="502"/>
      <c r="J4" s="522"/>
      <c r="K4" s="502"/>
      <c r="L4" s="461"/>
      <c r="M4" s="530"/>
      <c r="N4" s="507"/>
    </row>
    <row r="5" spans="1:14" ht="15.75" thickBot="1" x14ac:dyDescent="0.3">
      <c r="A5" s="30">
        <v>1</v>
      </c>
      <c r="B5" s="31" t="s">
        <v>39</v>
      </c>
      <c r="C5" s="117">
        <f>[1]STA_SP2_NO!$K$11</f>
        <v>328004.23</v>
      </c>
      <c r="D5" s="68">
        <f>[2]STA_SP2_NO!$K$11</f>
        <v>127839.79</v>
      </c>
      <c r="E5" s="117">
        <f>[3]STA_SP2_NO!$K$11</f>
        <v>92981</v>
      </c>
      <c r="F5" s="388">
        <f>[4]STA_SP2_NO!$K$11</f>
        <v>144215.79</v>
      </c>
      <c r="G5" s="385">
        <f>[5]STA_SP2_NO!$K$11</f>
        <v>153124</v>
      </c>
      <c r="H5" s="126">
        <f>[6]STA_SP2_NO!$K$11</f>
        <v>181929.29</v>
      </c>
      <c r="I5" s="143">
        <f>[7]STA_SP2_NO!$K$11</f>
        <v>303383</v>
      </c>
      <c r="J5" s="126">
        <f>[8]STA_SP2_NO!$K$11</f>
        <v>130183</v>
      </c>
      <c r="K5" s="143">
        <f>[9]STA_SP2_NO!$K$11</f>
        <v>127624.78</v>
      </c>
      <c r="L5" s="379">
        <f>[10]STA_SP2_NO!$K$11</f>
        <v>179956</v>
      </c>
      <c r="M5" s="386">
        <f>[11]STA_SP2_NO!$K$11</f>
        <v>13456.01</v>
      </c>
      <c r="N5" s="249">
        <f t="shared" ref="N5:N17" si="0">SUM(C5:M5)</f>
        <v>1782696.8900000001</v>
      </c>
    </row>
    <row r="6" spans="1:14" ht="15.75" thickBot="1" x14ac:dyDescent="0.3">
      <c r="A6" s="32">
        <v>2</v>
      </c>
      <c r="B6" s="33" t="s">
        <v>40</v>
      </c>
      <c r="C6" s="117">
        <f>[1]STA_SP2_NO!$K$12</f>
        <v>35443.56</v>
      </c>
      <c r="D6" s="68">
        <f>[2]STA_SP2_NO!$K$12</f>
        <v>17697.509999999998</v>
      </c>
      <c r="E6" s="117">
        <f>[3]STA_SP2_NO!$K$12</f>
        <v>13365</v>
      </c>
      <c r="F6" s="388">
        <f>[4]STA_SP2_NO!$K$12</f>
        <v>23985.9</v>
      </c>
      <c r="G6" s="385">
        <f>[5]STA_SP2_NO!$K$12</f>
        <v>17118</v>
      </c>
      <c r="H6" s="126">
        <f>[6]STA_SP2_NO!$K$12</f>
        <v>13615.98</v>
      </c>
      <c r="I6" s="143">
        <f>[7]STA_SP2_NO!$K$12</f>
        <v>36437</v>
      </c>
      <c r="J6" s="126">
        <f>[8]STA_SP2_NO!$K$12</f>
        <v>20682</v>
      </c>
      <c r="K6" s="143">
        <f>[9]STA_SP2_NO!$K$12</f>
        <v>10524.6</v>
      </c>
      <c r="L6" s="379">
        <f>[10]STA_SP2_NO!$K$12</f>
        <v>18619</v>
      </c>
      <c r="M6" s="386">
        <f>[11]STA_SP2_NO!$K$12</f>
        <v>2141.21</v>
      </c>
      <c r="N6" s="249">
        <f t="shared" si="0"/>
        <v>209629.76</v>
      </c>
    </row>
    <row r="7" spans="1:14" ht="15.75" thickBot="1" x14ac:dyDescent="0.3">
      <c r="A7" s="32">
        <v>3</v>
      </c>
      <c r="B7" s="33" t="s">
        <v>41</v>
      </c>
      <c r="C7" s="117">
        <f>[1]STA_SP2_NO!$K$13</f>
        <v>2734.78</v>
      </c>
      <c r="D7" s="68">
        <f>[2]STA_SP2_NO!$K$13</f>
        <v>1615.52</v>
      </c>
      <c r="E7" s="117">
        <f>[3]STA_SP2_NO!$K$13</f>
        <v>939</v>
      </c>
      <c r="F7" s="388">
        <f>[4]STA_SP2_NO!$K$13</f>
        <v>2023.48</v>
      </c>
      <c r="G7" s="385">
        <f>[5]STA_SP2_NO!$K$13</f>
        <v>532</v>
      </c>
      <c r="H7" s="126">
        <f>[6]STA_SP2_NO!$K$13</f>
        <v>2718.61</v>
      </c>
      <c r="I7" s="143">
        <f>[7]STA_SP2_NO!$K$13</f>
        <v>13230</v>
      </c>
      <c r="J7" s="126">
        <f>[8]STA_SP2_NO!$K$13</f>
        <v>1723</v>
      </c>
      <c r="K7" s="143">
        <f>[9]STA_SP2_NO!$K$13</f>
        <v>575.03</v>
      </c>
      <c r="L7" s="379">
        <f>[10]STA_SP2_NO!$K$13</f>
        <v>806</v>
      </c>
      <c r="M7" s="386">
        <f>[11]STA_SP2_NO!$K$13</f>
        <v>55.08</v>
      </c>
      <c r="N7" s="249">
        <f t="shared" si="0"/>
        <v>26952.5</v>
      </c>
    </row>
    <row r="8" spans="1:14" ht="15.75" thickBot="1" x14ac:dyDescent="0.3">
      <c r="A8" s="32">
        <v>4</v>
      </c>
      <c r="B8" s="33" t="s">
        <v>42</v>
      </c>
      <c r="C8" s="117">
        <f>[1]STA_SP2_NO!$K$14</f>
        <v>647.47</v>
      </c>
      <c r="D8" s="68">
        <f>[2]STA_SP2_NO!$K$14</f>
        <v>354.29</v>
      </c>
      <c r="E8" s="117">
        <f>[3]STA_SP2_NO!$K$14</f>
        <v>110</v>
      </c>
      <c r="F8" s="388">
        <f>[4]STA_SP2_NO!$K$14</f>
        <v>923.14</v>
      </c>
      <c r="G8" s="385">
        <f>[5]STA_SP2_NO!$K$14</f>
        <v>780</v>
      </c>
      <c r="H8" s="126">
        <f>[6]STA_SP2_NO!$K$14</f>
        <v>328.3</v>
      </c>
      <c r="I8" s="143">
        <f>[7]STA_SP2_NO!$K$14</f>
        <v>1949</v>
      </c>
      <c r="J8" s="126">
        <f>[8]STA_SP2_NO!$K$14</f>
        <v>348</v>
      </c>
      <c r="K8" s="143">
        <f>[9]STA_SP2_NO!$K$14</f>
        <v>99.25</v>
      </c>
      <c r="L8" s="379">
        <f>[10]STA_SP2_NO!$K$14</f>
        <v>549</v>
      </c>
      <c r="M8" s="386">
        <f>[11]STA_SP2_NO!$K$14</f>
        <v>0</v>
      </c>
      <c r="N8" s="249">
        <f t="shared" si="0"/>
        <v>6088.4500000000007</v>
      </c>
    </row>
    <row r="9" spans="1:14" ht="15.75" thickBot="1" x14ac:dyDescent="0.3">
      <c r="A9" s="32">
        <v>5</v>
      </c>
      <c r="B9" s="33" t="s">
        <v>43</v>
      </c>
      <c r="C9" s="117">
        <f>[1]STA_SP2_NO!$K$15</f>
        <v>141.63</v>
      </c>
      <c r="D9" s="68">
        <f>[2]STA_SP2_NO!$K$15</f>
        <v>0</v>
      </c>
      <c r="E9" s="117">
        <f>[3]STA_SP2_NO!$K$15</f>
        <v>53</v>
      </c>
      <c r="F9" s="388">
        <f>[4]STA_SP2_NO!$K$15</f>
        <v>749.16</v>
      </c>
      <c r="G9" s="385">
        <f>[5]STA_SP2_NO!$K$15</f>
        <v>0</v>
      </c>
      <c r="H9" s="126">
        <f>[6]STA_SP2_NO!$K$15</f>
        <v>794.51</v>
      </c>
      <c r="I9" s="143">
        <f>[7]STA_SP2_NO!$K$15</f>
        <v>295</v>
      </c>
      <c r="J9" s="126">
        <f>[8]STA_SP2_NO!$K$15</f>
        <v>961</v>
      </c>
      <c r="K9" s="143">
        <f>[9]STA_SP2_NO!$K$15</f>
        <v>141.65</v>
      </c>
      <c r="L9" s="379">
        <f>[10]STA_SP2_NO!$K$15</f>
        <v>18</v>
      </c>
      <c r="M9" s="386">
        <f>[11]STA_SP2_NO!$K$15</f>
        <v>0</v>
      </c>
      <c r="N9" s="249">
        <f t="shared" si="0"/>
        <v>3153.9500000000003</v>
      </c>
    </row>
    <row r="10" spans="1:14" ht="15.75" thickBot="1" x14ac:dyDescent="0.3">
      <c r="A10" s="32">
        <v>6</v>
      </c>
      <c r="B10" s="33" t="s">
        <v>44</v>
      </c>
      <c r="C10" s="117">
        <f>[1]STA_SP2_NO!$K$16</f>
        <v>5419.38</v>
      </c>
      <c r="D10" s="68">
        <f>[2]STA_SP2_NO!$K$16</f>
        <v>1586.68</v>
      </c>
      <c r="E10" s="117">
        <f>[3]STA_SP2_NO!$K$16</f>
        <v>492</v>
      </c>
      <c r="F10" s="388">
        <f>[4]STA_SP2_NO!$K$16</f>
        <v>1022.98</v>
      </c>
      <c r="G10" s="385">
        <f>[5]STA_SP2_NO!$K$16</f>
        <v>526</v>
      </c>
      <c r="H10" s="126">
        <f>[6]STA_SP2_NO!$K$16</f>
        <v>5184.1000000000004</v>
      </c>
      <c r="I10" s="143">
        <f>[7]STA_SP2_NO!$K$16</f>
        <v>7384</v>
      </c>
      <c r="J10" s="126">
        <f>[8]STA_SP2_NO!$K$16</f>
        <v>2410</v>
      </c>
      <c r="K10" s="143">
        <f>[9]STA_SP2_NO!$K$16</f>
        <v>1107.6099999999999</v>
      </c>
      <c r="L10" s="379">
        <f>[10]STA_SP2_NO!$K$16</f>
        <v>4570</v>
      </c>
      <c r="M10" s="386">
        <f>[11]STA_SP2_NO!$K$16</f>
        <v>12.92</v>
      </c>
      <c r="N10" s="249">
        <f t="shared" si="0"/>
        <v>29715.67</v>
      </c>
    </row>
    <row r="11" spans="1:14" ht="15.75" thickBot="1" x14ac:dyDescent="0.3">
      <c r="A11" s="32">
        <v>7</v>
      </c>
      <c r="B11" s="33" t="s">
        <v>45</v>
      </c>
      <c r="C11" s="117">
        <f>[1]STA_SP2_NO!$K$17</f>
        <v>0.81</v>
      </c>
      <c r="D11" s="68">
        <f>[2]STA_SP2_NO!$K$17</f>
        <v>124.51</v>
      </c>
      <c r="E11" s="117">
        <f>[3]STA_SP2_NO!$K$17</f>
        <v>11</v>
      </c>
      <c r="F11" s="388">
        <f>[4]STA_SP2_NO!$K$17</f>
        <v>0.01</v>
      </c>
      <c r="G11" s="385">
        <f>[5]STA_SP2_NO!$K$17</f>
        <v>62</v>
      </c>
      <c r="H11" s="126">
        <f>[6]STA_SP2_NO!$K$17</f>
        <v>372.14</v>
      </c>
      <c r="I11" s="143">
        <f>[7]STA_SP2_NO!$K$17</f>
        <v>108</v>
      </c>
      <c r="J11" s="126">
        <f>[8]STA_SP2_NO!$K$17</f>
        <v>64</v>
      </c>
      <c r="K11" s="143">
        <f>[9]STA_SP2_NO!$K$17</f>
        <v>216.75</v>
      </c>
      <c r="L11" s="379">
        <f>[10]STA_SP2_NO!$K$17</f>
        <v>62</v>
      </c>
      <c r="M11" s="386">
        <f>[11]STA_SP2_NO!$K$17</f>
        <v>0</v>
      </c>
      <c r="N11" s="249">
        <f t="shared" si="0"/>
        <v>1021.22</v>
      </c>
    </row>
    <row r="12" spans="1:14" ht="15.75" thickBot="1" x14ac:dyDescent="0.3">
      <c r="A12" s="32">
        <v>8</v>
      </c>
      <c r="B12" s="33" t="s">
        <v>46</v>
      </c>
      <c r="C12" s="117">
        <f>[1]STA_SP2_NO!$K$18</f>
        <v>847.58</v>
      </c>
      <c r="D12" s="68">
        <f>[2]STA_SP2_NO!$K$18</f>
        <v>156.03</v>
      </c>
      <c r="E12" s="117">
        <f>[3]STA_SP2_NO!$K$18</f>
        <v>2210</v>
      </c>
      <c r="F12" s="388">
        <f>[4]STA_SP2_NO!$K$18</f>
        <v>1061.82</v>
      </c>
      <c r="G12" s="385">
        <f>[5]STA_SP2_NO!$K$18</f>
        <v>138</v>
      </c>
      <c r="H12" s="126">
        <f>[6]STA_SP2_NO!$K$18</f>
        <v>0</v>
      </c>
      <c r="I12" s="143">
        <f>[7]STA_SP2_NO!$K$18</f>
        <v>1609</v>
      </c>
      <c r="J12" s="126">
        <f>[8]STA_SP2_NO!$K$18</f>
        <v>3289</v>
      </c>
      <c r="K12" s="143">
        <f>[9]STA_SP2_NO!$K$18</f>
        <v>0</v>
      </c>
      <c r="L12" s="379">
        <f>[10]STA_SP2_NO!$K$18</f>
        <v>181</v>
      </c>
      <c r="M12" s="386">
        <f>[11]STA_SP2_NO!$K$18</f>
        <v>10</v>
      </c>
      <c r="N12" s="249">
        <f t="shared" si="0"/>
        <v>9502.43</v>
      </c>
    </row>
    <row r="13" spans="1:14" ht="23.25" thickBot="1" x14ac:dyDescent="0.3">
      <c r="A13" s="32">
        <v>9</v>
      </c>
      <c r="B13" s="53" t="s">
        <v>47</v>
      </c>
      <c r="C13" s="117">
        <f>[1]STA_SP2_NO!$K$19</f>
        <v>0</v>
      </c>
      <c r="D13" s="68">
        <f>[2]STA_SP2_NO!$K$19</f>
        <v>0</v>
      </c>
      <c r="E13" s="117">
        <f>[3]STA_SP2_NO!$K$19</f>
        <v>0</v>
      </c>
      <c r="F13" s="388">
        <f>[4]STA_SP2_NO!$K$19</f>
        <v>11.11</v>
      </c>
      <c r="G13" s="385">
        <f>[5]STA_SP2_NO!$K$19</f>
        <v>0</v>
      </c>
      <c r="H13" s="126">
        <f>[6]STA_SP2_NO!$K$19</f>
        <v>0</v>
      </c>
      <c r="I13" s="143">
        <f>[7]STA_SP2_NO!$K$19</f>
        <v>0</v>
      </c>
      <c r="J13" s="126">
        <f>[8]STA_SP2_NO!$K$19</f>
        <v>0</v>
      </c>
      <c r="K13" s="143">
        <f>[9]STA_SP2_NO!$K$19</f>
        <v>0</v>
      </c>
      <c r="L13" s="379">
        <f>[10]STA_SP2_NO!$K$19</f>
        <v>0</v>
      </c>
      <c r="M13" s="386">
        <f>[11]STA_SP2_NO!$K$19</f>
        <v>0</v>
      </c>
      <c r="N13" s="249">
        <f t="shared" si="0"/>
        <v>11.11</v>
      </c>
    </row>
    <row r="14" spans="1:14" ht="34.5" thickBot="1" x14ac:dyDescent="0.3">
      <c r="A14" s="32">
        <v>10</v>
      </c>
      <c r="B14" s="156" t="s">
        <v>48</v>
      </c>
      <c r="C14" s="117">
        <f>[1]STA_SP2_NO!$K$20</f>
        <v>0</v>
      </c>
      <c r="D14" s="68">
        <f>[2]STA_SP2_NO!$K$20</f>
        <v>0</v>
      </c>
      <c r="E14" s="117">
        <f>[3]STA_SP2_NO!$K$20</f>
        <v>0</v>
      </c>
      <c r="F14" s="388">
        <f>[4]STA_SP2_NO!$K$20</f>
        <v>0</v>
      </c>
      <c r="G14" s="385">
        <f>[5]STA_SP2_NO!$K$20</f>
        <v>0</v>
      </c>
      <c r="H14" s="126">
        <f>[6]STA_SP2_NO!$K$20</f>
        <v>0</v>
      </c>
      <c r="I14" s="143">
        <f>[7]STA_SP2_NO!$K$20</f>
        <v>0</v>
      </c>
      <c r="J14" s="126">
        <f>[8]STA_SP2_NO!$K$20</f>
        <v>0</v>
      </c>
      <c r="K14" s="143">
        <f>[9]STA_SP2_NO!$K$20</f>
        <v>0</v>
      </c>
      <c r="L14" s="379">
        <f>[10]STA_SP2_NO!$K$20</f>
        <v>0</v>
      </c>
      <c r="M14" s="386">
        <f>[11]STA_SP2_NO!$K$20</f>
        <v>0</v>
      </c>
      <c r="N14" s="249">
        <f t="shared" si="0"/>
        <v>0</v>
      </c>
    </row>
    <row r="15" spans="1:14" ht="15.75" thickBot="1" x14ac:dyDescent="0.3">
      <c r="A15" s="32">
        <v>11</v>
      </c>
      <c r="B15" s="33" t="s">
        <v>49</v>
      </c>
      <c r="C15" s="117">
        <f>[1]STA_SP2_NO!$K$21</f>
        <v>0</v>
      </c>
      <c r="D15" s="68">
        <f>[2]STA_SP2_NO!$K$21</f>
        <v>0</v>
      </c>
      <c r="E15" s="117">
        <f>[3]STA_SP2_NO!$K$21</f>
        <v>0</v>
      </c>
      <c r="F15" s="388">
        <f>[4]STA_SP2_NO!$K$21</f>
        <v>0</v>
      </c>
      <c r="G15" s="385">
        <f>[5]STA_SP2_NO!$K$21</f>
        <v>154</v>
      </c>
      <c r="H15" s="126">
        <f>[6]STA_SP2_NO!$K$21</f>
        <v>0</v>
      </c>
      <c r="I15" s="143">
        <f>[7]STA_SP2_NO!$K$21</f>
        <v>0</v>
      </c>
      <c r="J15" s="126">
        <f>[8]STA_SP2_NO!$K$21</f>
        <v>0</v>
      </c>
      <c r="K15" s="143">
        <f>[9]STA_SP2_NO!$K$21</f>
        <v>0</v>
      </c>
      <c r="L15" s="379">
        <f>[10]STA_SP2_NO!$K$21</f>
        <v>0</v>
      </c>
      <c r="M15" s="386">
        <f>[11]STA_SP2_NO!$K$21</f>
        <v>0</v>
      </c>
      <c r="N15" s="249">
        <f t="shared" si="0"/>
        <v>154</v>
      </c>
    </row>
    <row r="16" spans="1:14" ht="57" thickBot="1" x14ac:dyDescent="0.3">
      <c r="A16" s="32">
        <v>12</v>
      </c>
      <c r="B16" s="53" t="s">
        <v>50</v>
      </c>
      <c r="C16" s="117">
        <f>[1]STA_SP2_NO!$K$22</f>
        <v>0</v>
      </c>
      <c r="D16" s="68">
        <f>[2]STA_SP2_NO!$K$22</f>
        <v>0</v>
      </c>
      <c r="E16" s="117">
        <f>[3]STA_SP2_NO!$K$22</f>
        <v>0</v>
      </c>
      <c r="F16" s="388">
        <f>[4]STA_SP2_NO!$K$22</f>
        <v>0</v>
      </c>
      <c r="G16" s="385">
        <f>[5]STA_SP2_NO!$K$22</f>
        <v>0</v>
      </c>
      <c r="H16" s="126">
        <f>[6]STA_SP2_NO!$K$22</f>
        <v>0</v>
      </c>
      <c r="I16" s="143">
        <f>[7]STA_SP2_NO!$K$22</f>
        <v>0</v>
      </c>
      <c r="J16" s="126">
        <f>[8]STA_SP2_NO!$K$22</f>
        <v>0</v>
      </c>
      <c r="K16" s="143">
        <f>[9]STA_SP2_NO!$K$22</f>
        <v>0</v>
      </c>
      <c r="L16" s="379">
        <f>[10]STA_SP2_NO!$K$22</f>
        <v>0</v>
      </c>
      <c r="M16" s="386">
        <f>[11]STA_SP2_NO!$K$22</f>
        <v>0</v>
      </c>
      <c r="N16" s="249">
        <f t="shared" si="0"/>
        <v>0</v>
      </c>
    </row>
    <row r="17" spans="1:14" ht="34.5" thickBot="1" x14ac:dyDescent="0.3">
      <c r="A17" s="32">
        <v>13</v>
      </c>
      <c r="B17" s="53" t="s">
        <v>51</v>
      </c>
      <c r="C17" s="117">
        <f>[1]STA_SP2_NO!$K$23</f>
        <v>0</v>
      </c>
      <c r="D17" s="68">
        <f>[2]STA_SP2_NO!$K$23</f>
        <v>0</v>
      </c>
      <c r="E17" s="117">
        <f>[3]STA_SP2_NO!$K$23</f>
        <v>0</v>
      </c>
      <c r="F17" s="388">
        <f>[4]STA_SP2_NO!$K$23</f>
        <v>0</v>
      </c>
      <c r="G17" s="385">
        <f>[5]STA_SP2_NO!$K$23</f>
        <v>0</v>
      </c>
      <c r="H17" s="126">
        <f>[6]STA_SP2_NO!$K$23</f>
        <v>0</v>
      </c>
      <c r="I17" s="143">
        <f>[7]STA_SP2_NO!$K$23</f>
        <v>0</v>
      </c>
      <c r="J17" s="126">
        <f>[8]STA_SP2_NO!$K$23</f>
        <v>0</v>
      </c>
      <c r="K17" s="143">
        <f>[9]STA_SP2_NO!$K$23</f>
        <v>0</v>
      </c>
      <c r="L17" s="379">
        <f>[10]STA_SP2_NO!$K$23</f>
        <v>0</v>
      </c>
      <c r="M17" s="386">
        <f>[11]STA_SP2_NO!$K$23</f>
        <v>0</v>
      </c>
      <c r="N17" s="249">
        <f t="shared" si="0"/>
        <v>0</v>
      </c>
    </row>
    <row r="18" spans="1:14" ht="15.75" thickBot="1" x14ac:dyDescent="0.3">
      <c r="A18" s="36"/>
      <c r="B18" s="37" t="s">
        <v>37</v>
      </c>
      <c r="C18" s="41">
        <f t="shared" ref="C18:E18" si="1">SUM(C5:C17)</f>
        <v>373239.44</v>
      </c>
      <c r="D18" s="42">
        <f>SUM(D5:D17)</f>
        <v>149374.32999999999</v>
      </c>
      <c r="E18" s="41">
        <f t="shared" si="1"/>
        <v>110161</v>
      </c>
      <c r="F18" s="39">
        <f t="shared" ref="F18:N18" si="2">SUM(F5:F17)</f>
        <v>173993.39000000004</v>
      </c>
      <c r="G18" s="40">
        <f t="shared" si="2"/>
        <v>172434</v>
      </c>
      <c r="H18" s="39">
        <f t="shared" si="2"/>
        <v>204942.93000000002</v>
      </c>
      <c r="I18" s="40">
        <f t="shared" si="2"/>
        <v>364395</v>
      </c>
      <c r="J18" s="51">
        <f t="shared" si="2"/>
        <v>159660</v>
      </c>
      <c r="K18" s="40">
        <f t="shared" si="2"/>
        <v>140289.66999999998</v>
      </c>
      <c r="L18" s="380">
        <f t="shared" si="2"/>
        <v>204761</v>
      </c>
      <c r="M18" s="333">
        <f t="shared" si="2"/>
        <v>15675.220000000001</v>
      </c>
      <c r="N18" s="250">
        <f t="shared" si="2"/>
        <v>2068925.98</v>
      </c>
    </row>
    <row r="19" spans="1:14" ht="15.75" thickBot="1" x14ac:dyDescent="0.3">
      <c r="G19" s="341"/>
      <c r="H19" s="1"/>
      <c r="I19" s="341"/>
      <c r="J19" s="1"/>
      <c r="K19" s="341"/>
      <c r="L19" s="1"/>
      <c r="M19" s="341"/>
    </row>
    <row r="20" spans="1:14" ht="15.75" thickBot="1" x14ac:dyDescent="0.3">
      <c r="A20" s="533" t="s">
        <v>53</v>
      </c>
      <c r="B20" s="534"/>
      <c r="C20" s="55">
        <f>C18/N18</f>
        <v>0.18040251009850047</v>
      </c>
      <c r="D20" s="56">
        <f>D18/N18</f>
        <v>7.2198972531632086E-2</v>
      </c>
      <c r="E20" s="48">
        <f>E18/N18</f>
        <v>5.324550083710583E-2</v>
      </c>
      <c r="F20" s="47">
        <f>F18/N18</f>
        <v>8.4098412259292155E-2</v>
      </c>
      <c r="G20" s="70">
        <f>G18/N18</f>
        <v>8.334469268929573E-2</v>
      </c>
      <c r="H20" s="47">
        <f>H18/N18</f>
        <v>9.9057642458528175E-2</v>
      </c>
      <c r="I20" s="70">
        <f>I18/N18</f>
        <v>0.17612761574002758</v>
      </c>
      <c r="J20" s="47">
        <f>J18/N18</f>
        <v>7.7170474702048061E-2</v>
      </c>
      <c r="K20" s="70">
        <f>K18/N18</f>
        <v>6.7807969621030126E-2</v>
      </c>
      <c r="L20" s="389">
        <f>L18/N18</f>
        <v>9.8969707944795593E-2</v>
      </c>
      <c r="M20" s="342">
        <f>M18/N18</f>
        <v>7.576501117744194E-3</v>
      </c>
      <c r="N20" s="258">
        <f>SUM(C20:M20)</f>
        <v>1</v>
      </c>
    </row>
    <row r="21" spans="1:14" x14ac:dyDescent="0.25">
      <c r="K21" s="341"/>
    </row>
  </sheetData>
  <mergeCells count="17">
    <mergeCell ref="N2:N4"/>
    <mergeCell ref="C3:C4"/>
    <mergeCell ref="D3:D4"/>
    <mergeCell ref="E3:E4"/>
    <mergeCell ref="F3:F4"/>
    <mergeCell ref="G3:G4"/>
    <mergeCell ref="L3:L4"/>
    <mergeCell ref="C2:M2"/>
    <mergeCell ref="M3:M4"/>
    <mergeCell ref="A20:B20"/>
    <mergeCell ref="C1:K1"/>
    <mergeCell ref="A2:A4"/>
    <mergeCell ref="B2:B4"/>
    <mergeCell ref="H3:H4"/>
    <mergeCell ref="I3:I4"/>
    <mergeCell ref="J3:J4"/>
    <mergeCell ref="K3:K4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H35" sqref="H35"/>
    </sheetView>
  </sheetViews>
  <sheetFormatPr defaultRowHeight="15" x14ac:dyDescent="0.25"/>
  <cols>
    <col min="1" max="1" width="4" customWidth="1"/>
    <col min="2" max="2" width="21.5703125" customWidth="1"/>
  </cols>
  <sheetData>
    <row r="1" spans="1:15" ht="27.75" customHeight="1" thickBot="1" x14ac:dyDescent="0.3">
      <c r="A1" s="120"/>
      <c r="B1" s="26"/>
      <c r="C1" s="455" t="s">
        <v>112</v>
      </c>
      <c r="D1" s="456"/>
      <c r="E1" s="456"/>
      <c r="F1" s="456"/>
      <c r="G1" s="456"/>
      <c r="H1" s="456"/>
      <c r="I1" s="456"/>
      <c r="J1" s="457"/>
      <c r="K1" s="457"/>
      <c r="L1" s="26"/>
      <c r="M1" s="26"/>
      <c r="N1" s="52"/>
    </row>
    <row r="2" spans="1:15" ht="15.75" thickBot="1" x14ac:dyDescent="0.3">
      <c r="A2" s="458" t="s">
        <v>0</v>
      </c>
      <c r="B2" s="460" t="s">
        <v>1</v>
      </c>
      <c r="C2" s="493" t="s">
        <v>2</v>
      </c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505" t="s">
        <v>3</v>
      </c>
    </row>
    <row r="3" spans="1:15" x14ac:dyDescent="0.25">
      <c r="A3" s="497"/>
      <c r="B3" s="499"/>
      <c r="C3" s="524" t="s">
        <v>69</v>
      </c>
      <c r="D3" s="499" t="s">
        <v>4</v>
      </c>
      <c r="E3" s="519" t="s">
        <v>5</v>
      </c>
      <c r="F3" s="460" t="s">
        <v>6</v>
      </c>
      <c r="G3" s="501" t="s">
        <v>8</v>
      </c>
      <c r="H3" s="460" t="s">
        <v>94</v>
      </c>
      <c r="I3" s="501" t="s">
        <v>9</v>
      </c>
      <c r="J3" s="503" t="s">
        <v>10</v>
      </c>
      <c r="K3" s="501" t="s">
        <v>93</v>
      </c>
      <c r="L3" s="460" t="s">
        <v>11</v>
      </c>
      <c r="M3" s="536" t="s">
        <v>96</v>
      </c>
      <c r="N3" s="547"/>
    </row>
    <row r="4" spans="1:15" ht="15.75" thickBot="1" x14ac:dyDescent="0.3">
      <c r="A4" s="498"/>
      <c r="B4" s="500"/>
      <c r="C4" s="526"/>
      <c r="D4" s="498"/>
      <c r="E4" s="498"/>
      <c r="F4" s="498"/>
      <c r="G4" s="502"/>
      <c r="H4" s="461"/>
      <c r="I4" s="502"/>
      <c r="J4" s="504"/>
      <c r="K4" s="502"/>
      <c r="L4" s="461"/>
      <c r="M4" s="537"/>
      <c r="N4" s="548"/>
    </row>
    <row r="5" spans="1:15" x14ac:dyDescent="0.25">
      <c r="A5" s="30">
        <v>1</v>
      </c>
      <c r="B5" s="31" t="s">
        <v>39</v>
      </c>
      <c r="C5" s="62">
        <f>[1]STA_SP2_NO!$J$25</f>
        <v>92</v>
      </c>
      <c r="D5" s="118">
        <f>[2]STA_SP2_NO!$J$25</f>
        <v>53</v>
      </c>
      <c r="E5" s="61">
        <f>[3]STA_SP2_NO!$J$25</f>
        <v>31</v>
      </c>
      <c r="F5" s="118">
        <f>[4]STA_SP2_NO!$J$25</f>
        <v>94</v>
      </c>
      <c r="G5" s="143">
        <f>[5]STA_SP2_NO!$J$25</f>
        <v>52</v>
      </c>
      <c r="H5" s="118">
        <f>[6]STA_SP2_NO!$J$25</f>
        <v>53</v>
      </c>
      <c r="I5" s="143">
        <f>[7]STA_SP2_NO!$J$25</f>
        <v>118</v>
      </c>
      <c r="J5" s="118">
        <f>[8]STA_SP2_NO!$J$25</f>
        <v>54</v>
      </c>
      <c r="K5" s="143">
        <f>[9]STA_SP2_NO!$J$25</f>
        <v>88</v>
      </c>
      <c r="L5" s="387">
        <f>[10]STA_SP2_NO!$J$25</f>
        <v>65</v>
      </c>
      <c r="M5" s="394">
        <f>[11]STA_SP2_NO!$J$25</f>
        <v>4</v>
      </c>
      <c r="N5" s="401">
        <f t="shared" ref="N5:N12" si="0">SUM(C5:M5)</f>
        <v>704</v>
      </c>
    </row>
    <row r="6" spans="1:15" x14ac:dyDescent="0.25">
      <c r="A6" s="32">
        <v>2</v>
      </c>
      <c r="B6" s="33" t="s">
        <v>40</v>
      </c>
      <c r="C6" s="62">
        <f>[1]STA_SP2_NO!$J$26</f>
        <v>151</v>
      </c>
      <c r="D6" s="118">
        <f>[2]STA_SP2_NO!$J$26</f>
        <v>152</v>
      </c>
      <c r="E6" s="61">
        <f>[3]STA_SP2_NO!$J$26</f>
        <v>45</v>
      </c>
      <c r="F6" s="118">
        <f>[4]STA_SP2_NO!$J$26</f>
        <v>132</v>
      </c>
      <c r="G6" s="143">
        <f>[5]STA_SP2_NO!$J$26</f>
        <v>37</v>
      </c>
      <c r="H6" s="118">
        <f>[6]STA_SP2_NO!$J$26</f>
        <v>37</v>
      </c>
      <c r="I6" s="143">
        <f>[7]STA_SP2_NO!$J$26</f>
        <v>71</v>
      </c>
      <c r="J6" s="118">
        <f>[8]STA_SP2_NO!$J$26</f>
        <v>53</v>
      </c>
      <c r="K6" s="143">
        <f>[9]STA_SP2_NO!$J$26</f>
        <v>55</v>
      </c>
      <c r="L6" s="387">
        <f>[10]STA_SP2_NO!$J$26</f>
        <v>52</v>
      </c>
      <c r="M6" s="394">
        <f>[11]STA_SP2_NO!$J$26</f>
        <v>1</v>
      </c>
      <c r="N6" s="401">
        <f t="shared" si="0"/>
        <v>786</v>
      </c>
    </row>
    <row r="7" spans="1:15" x14ac:dyDescent="0.25">
      <c r="A7" s="32">
        <v>3</v>
      </c>
      <c r="B7" s="33" t="s">
        <v>41</v>
      </c>
      <c r="C7" s="62">
        <f>[1]STA_SP2_NO!$J$27</f>
        <v>10</v>
      </c>
      <c r="D7" s="118">
        <f>[2]STA_SP2_NO!$J$27</f>
        <v>11</v>
      </c>
      <c r="E7" s="61">
        <f>[3]STA_SP2_NO!$J$27</f>
        <v>2</v>
      </c>
      <c r="F7" s="118">
        <f>[4]STA_SP2_NO!$J$27</f>
        <v>18</v>
      </c>
      <c r="G7" s="143">
        <f>[5]STA_SP2_NO!$J$27</f>
        <v>7</v>
      </c>
      <c r="H7" s="118">
        <f>[6]STA_SP2_NO!$J$27</f>
        <v>11</v>
      </c>
      <c r="I7" s="143">
        <f>[7]STA_SP2_NO!$J$27</f>
        <v>12</v>
      </c>
      <c r="J7" s="118">
        <f>[8]STA_SP2_NO!$J$27</f>
        <v>3</v>
      </c>
      <c r="K7" s="143">
        <f>[9]STA_SP2_NO!$J$27</f>
        <v>8</v>
      </c>
      <c r="L7" s="387">
        <f>[10]STA_SP2_NO!$J$27</f>
        <v>3</v>
      </c>
      <c r="M7" s="394">
        <f>[11]STA_SP2_NO!$J$27</f>
        <v>0</v>
      </c>
      <c r="N7" s="401">
        <f t="shared" si="0"/>
        <v>85</v>
      </c>
    </row>
    <row r="8" spans="1:15" x14ac:dyDescent="0.25">
      <c r="A8" s="32">
        <v>4</v>
      </c>
      <c r="B8" s="33" t="s">
        <v>42</v>
      </c>
      <c r="C8" s="62">
        <f>[1]STA_SP2_NO!$J$28</f>
        <v>0</v>
      </c>
      <c r="D8" s="118">
        <f>[2]STA_SP2_NO!$J$28</f>
        <v>0</v>
      </c>
      <c r="E8" s="61">
        <f>[3]STA_SP2_NO!$J$28</f>
        <v>0</v>
      </c>
      <c r="F8" s="118">
        <f>[4]STA_SP2_NO!$J$28</f>
        <v>0</v>
      </c>
      <c r="G8" s="143">
        <f>[5]STA_SP2_NO!$J$28</f>
        <v>0</v>
      </c>
      <c r="H8" s="118">
        <f>[6]STA_SP2_NO!$J$28</f>
        <v>0</v>
      </c>
      <c r="I8" s="143">
        <f>[7]STA_SP2_NO!$J$28</f>
        <v>0</v>
      </c>
      <c r="J8" s="118">
        <f>[8]STA_SP2_NO!$J$28</f>
        <v>0</v>
      </c>
      <c r="K8" s="143">
        <f>[9]STA_SP2_NO!$J$28</f>
        <v>0</v>
      </c>
      <c r="L8" s="387">
        <f>[10]STA_SP2_NO!$J$28</f>
        <v>0</v>
      </c>
      <c r="M8" s="394">
        <f>[11]STA_SP2_NO!$J$28</f>
        <v>0</v>
      </c>
      <c r="N8" s="401">
        <f t="shared" si="0"/>
        <v>0</v>
      </c>
    </row>
    <row r="9" spans="1:15" x14ac:dyDescent="0.25">
      <c r="A9" s="32">
        <v>5</v>
      </c>
      <c r="B9" s="33" t="s">
        <v>43</v>
      </c>
      <c r="C9" s="62">
        <f>[1]STA_SP2_NO!$J$29</f>
        <v>0</v>
      </c>
      <c r="D9" s="118">
        <f>[2]STA_SP2_NO!$J$29</f>
        <v>0</v>
      </c>
      <c r="E9" s="61">
        <f>[3]STA_SP2_NO!$J$29</f>
        <v>0</v>
      </c>
      <c r="F9" s="118">
        <f>[4]STA_SP2_NO!$J$29</f>
        <v>0</v>
      </c>
      <c r="G9" s="143">
        <f>[5]STA_SP2_NO!$J$29</f>
        <v>0</v>
      </c>
      <c r="H9" s="118">
        <f>[6]STA_SP2_NO!$J$29</f>
        <v>0</v>
      </c>
      <c r="I9" s="143">
        <f>[7]STA_SP2_NO!$J$29</f>
        <v>0</v>
      </c>
      <c r="J9" s="118">
        <f>[8]STA_SP2_NO!$J$29</f>
        <v>0</v>
      </c>
      <c r="K9" s="143">
        <f>[9]STA_SP2_NO!$J$29</f>
        <v>0</v>
      </c>
      <c r="L9" s="387">
        <f>[10]STA_SP2_NO!$J$29</f>
        <v>0</v>
      </c>
      <c r="M9" s="394">
        <f>[11]STA_SP2_NO!$J$29</f>
        <v>0</v>
      </c>
      <c r="N9" s="401">
        <f t="shared" si="0"/>
        <v>0</v>
      </c>
    </row>
    <row r="10" spans="1:15" x14ac:dyDescent="0.25">
      <c r="A10" s="32">
        <v>6</v>
      </c>
      <c r="B10" s="33" t="s">
        <v>44</v>
      </c>
      <c r="C10" s="62">
        <f>[1]STA_SP2_NO!$J$30</f>
        <v>1</v>
      </c>
      <c r="D10" s="118">
        <f>[2]STA_SP2_NO!$J$30</f>
        <v>0</v>
      </c>
      <c r="E10" s="61">
        <f>[3]STA_SP2_NO!$J$30</f>
        <v>0</v>
      </c>
      <c r="F10" s="118">
        <f>[4]STA_SP2_NO!$J$30</f>
        <v>2</v>
      </c>
      <c r="G10" s="143">
        <f>[5]STA_SP2_NO!$J$30</f>
        <v>1</v>
      </c>
      <c r="H10" s="118">
        <f>[6]STA_SP2_NO!$J$30</f>
        <v>2</v>
      </c>
      <c r="I10" s="143">
        <f>[7]STA_SP2_NO!$J$30</f>
        <v>1</v>
      </c>
      <c r="J10" s="118">
        <f>[8]STA_SP2_NO!$J$30</f>
        <v>0</v>
      </c>
      <c r="K10" s="143">
        <f>[9]STA_SP2_NO!$J$30</f>
        <v>0</v>
      </c>
      <c r="L10" s="387">
        <f>[10]STA_SP2_NO!$J$30</f>
        <v>0</v>
      </c>
      <c r="M10" s="394">
        <f>[11]STA_SP2_NO!$J$30</f>
        <v>0</v>
      </c>
      <c r="N10" s="401">
        <f t="shared" si="0"/>
        <v>7</v>
      </c>
    </row>
    <row r="11" spans="1:15" x14ac:dyDescent="0.25">
      <c r="A11" s="32">
        <v>7</v>
      </c>
      <c r="B11" s="33" t="s">
        <v>45</v>
      </c>
      <c r="C11" s="62">
        <f>[1]STA_SP2_NO!$J$31</f>
        <v>3</v>
      </c>
      <c r="D11" s="118">
        <f>[2]STA_SP2_NO!$J$31</f>
        <v>6</v>
      </c>
      <c r="E11" s="61">
        <f>[3]STA_SP2_NO!$J$31</f>
        <v>5</v>
      </c>
      <c r="F11" s="118">
        <f>[4]STA_SP2_NO!$J$31</f>
        <v>0</v>
      </c>
      <c r="G11" s="143">
        <f>[5]STA_SP2_NO!$J$31</f>
        <v>1</v>
      </c>
      <c r="H11" s="118">
        <f>[6]STA_SP2_NO!$J$31</f>
        <v>3</v>
      </c>
      <c r="I11" s="143">
        <f>[7]STA_SP2_NO!$J$31</f>
        <v>3</v>
      </c>
      <c r="J11" s="118">
        <f>[8]STA_SP2_NO!$J$31</f>
        <v>1</v>
      </c>
      <c r="K11" s="143">
        <f>[9]STA_SP2_NO!$J$31</f>
        <v>1</v>
      </c>
      <c r="L11" s="387">
        <f>[10]STA_SP2_NO!$J$31</f>
        <v>0</v>
      </c>
      <c r="M11" s="394">
        <f>[11]STA_SP2_NO!$J$31</f>
        <v>0</v>
      </c>
      <c r="N11" s="401">
        <f t="shared" si="0"/>
        <v>23</v>
      </c>
    </row>
    <row r="12" spans="1:15" ht="15.75" thickBot="1" x14ac:dyDescent="0.3">
      <c r="A12" s="34">
        <v>8</v>
      </c>
      <c r="B12" s="35" t="s">
        <v>46</v>
      </c>
      <c r="C12" s="62">
        <f>[1]STA_SP2_NO!$J$32</f>
        <v>0</v>
      </c>
      <c r="D12" s="118">
        <f>[2]STA_SP2_NO!$J$32</f>
        <v>0</v>
      </c>
      <c r="E12" s="61">
        <f>[3]STA_SP2_NO!$J$32</f>
        <v>0</v>
      </c>
      <c r="F12" s="118">
        <f>[4]STA_SP2_NO!$J$32</f>
        <v>0</v>
      </c>
      <c r="G12" s="143">
        <f>[5]STA_SP2_NO!$J$32</f>
        <v>0</v>
      </c>
      <c r="H12" s="118">
        <f>[6]STA_SP2_NO!$J$32</f>
        <v>0</v>
      </c>
      <c r="I12" s="143">
        <f>[7]STA_SP2_NO!$J$32</f>
        <v>0</v>
      </c>
      <c r="J12" s="118">
        <f>[8]STA_SP2_NO!$J$32</f>
        <v>0</v>
      </c>
      <c r="K12" s="143">
        <f>[9]STA_SP2_NO!$J$32</f>
        <v>0</v>
      </c>
      <c r="L12" s="387">
        <f>[10]STA_SP2_NO!$J$32</f>
        <v>0</v>
      </c>
      <c r="M12" s="394">
        <f>[11]STA_SP2_NO!$J$32</f>
        <v>0</v>
      </c>
      <c r="N12" s="401">
        <f t="shared" si="0"/>
        <v>0</v>
      </c>
    </row>
    <row r="13" spans="1:15" ht="15.75" thickBot="1" x14ac:dyDescent="0.3">
      <c r="A13" s="36"/>
      <c r="B13" s="37" t="s">
        <v>54</v>
      </c>
      <c r="C13" s="41">
        <f t="shared" ref="C13:F13" si="1">SUM(C5:C12)</f>
        <v>257</v>
      </c>
      <c r="D13" s="39">
        <f t="shared" si="1"/>
        <v>222</v>
      </c>
      <c r="E13" s="41">
        <f t="shared" si="1"/>
        <v>83</v>
      </c>
      <c r="F13" s="39">
        <f t="shared" si="1"/>
        <v>246</v>
      </c>
      <c r="G13" s="40">
        <f t="shared" ref="G13:N13" si="2">SUM(G5:G12)</f>
        <v>98</v>
      </c>
      <c r="H13" s="39">
        <f t="shared" si="2"/>
        <v>106</v>
      </c>
      <c r="I13" s="40">
        <f t="shared" si="2"/>
        <v>205</v>
      </c>
      <c r="J13" s="39">
        <f t="shared" si="2"/>
        <v>111</v>
      </c>
      <c r="K13" s="40">
        <f t="shared" si="2"/>
        <v>152</v>
      </c>
      <c r="L13" s="380">
        <f t="shared" si="2"/>
        <v>120</v>
      </c>
      <c r="M13" s="400">
        <f t="shared" si="2"/>
        <v>5</v>
      </c>
      <c r="N13" s="234">
        <f t="shared" si="2"/>
        <v>1605</v>
      </c>
    </row>
    <row r="14" spans="1:15" x14ac:dyDescent="0.25">
      <c r="A14" s="1"/>
      <c r="B14" s="1"/>
      <c r="C14" s="1"/>
      <c r="D14" s="1"/>
      <c r="E14" s="1"/>
      <c r="F14" s="1"/>
      <c r="G14" s="341"/>
      <c r="H14" s="1"/>
      <c r="I14" s="341"/>
      <c r="J14" s="1"/>
      <c r="K14" s="341"/>
      <c r="L14" s="1"/>
      <c r="M14" s="341"/>
      <c r="O14" s="1"/>
    </row>
    <row r="15" spans="1:15" ht="15.75" thickBot="1" x14ac:dyDescent="0.3">
      <c r="A15" s="1"/>
      <c r="B15" s="1"/>
      <c r="C15" s="1"/>
      <c r="D15" s="1"/>
      <c r="E15" s="1"/>
      <c r="F15" s="1"/>
      <c r="G15" s="341"/>
      <c r="H15" s="1"/>
      <c r="I15" s="341"/>
      <c r="J15" s="1"/>
      <c r="K15" s="341"/>
      <c r="L15" s="1"/>
      <c r="M15" s="341"/>
      <c r="O15" s="1"/>
    </row>
    <row r="16" spans="1:15" ht="15.75" thickBot="1" x14ac:dyDescent="0.3">
      <c r="A16" s="545" t="s">
        <v>53</v>
      </c>
      <c r="B16" s="546"/>
      <c r="C16" s="55">
        <f>C13/N13</f>
        <v>0.16012461059190031</v>
      </c>
      <c r="D16" s="56">
        <f>D13/N13</f>
        <v>0.13831775700934579</v>
      </c>
      <c r="E16" s="48">
        <f>E13/N13</f>
        <v>5.1713395638629284E-2</v>
      </c>
      <c r="F16" s="47">
        <f>F13/N13</f>
        <v>0.15327102803738318</v>
      </c>
      <c r="G16" s="70">
        <f>G13/N13</f>
        <v>6.1059190031152649E-2</v>
      </c>
      <c r="H16" s="47">
        <f>H13/N13</f>
        <v>6.6043613707165105E-2</v>
      </c>
      <c r="I16" s="70">
        <f>I13/N13</f>
        <v>0.1277258566978193</v>
      </c>
      <c r="J16" s="47">
        <f>J13/N13</f>
        <v>6.9158878504672894E-2</v>
      </c>
      <c r="K16" s="70">
        <f>K13/N13</f>
        <v>9.4704049844236762E-2</v>
      </c>
      <c r="L16" s="47">
        <f>L13/N13</f>
        <v>7.476635514018691E-2</v>
      </c>
      <c r="M16" s="342">
        <f>M13/N13</f>
        <v>3.1152647975077881E-3</v>
      </c>
      <c r="N16" s="258">
        <f>SUM(C16:M16)</f>
        <v>1</v>
      </c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ht="15.75" thickBot="1" x14ac:dyDescent="0.3">
      <c r="A18" s="1"/>
      <c r="B18" s="26"/>
      <c r="C18" s="455" t="s">
        <v>113</v>
      </c>
      <c r="D18" s="456"/>
      <c r="E18" s="456"/>
      <c r="F18" s="456"/>
      <c r="G18" s="456"/>
      <c r="H18" s="456"/>
      <c r="I18" s="456"/>
      <c r="J18" s="457"/>
      <c r="K18" s="457"/>
      <c r="L18" s="26"/>
      <c r="M18" s="26"/>
      <c r="N18" s="155" t="s">
        <v>36</v>
      </c>
    </row>
    <row r="19" spans="1:15" ht="15.75" thickBot="1" x14ac:dyDescent="0.3">
      <c r="A19" s="458" t="s">
        <v>0</v>
      </c>
      <c r="B19" s="532" t="s">
        <v>1</v>
      </c>
      <c r="C19" s="493" t="s">
        <v>2</v>
      </c>
      <c r="D19" s="494"/>
      <c r="E19" s="494"/>
      <c r="F19" s="494"/>
      <c r="G19" s="494"/>
      <c r="H19" s="494"/>
      <c r="I19" s="494"/>
      <c r="J19" s="494"/>
      <c r="K19" s="494"/>
      <c r="L19" s="494"/>
      <c r="M19" s="495"/>
      <c r="N19" s="505" t="s">
        <v>3</v>
      </c>
    </row>
    <row r="20" spans="1:15" x14ac:dyDescent="0.25">
      <c r="A20" s="497"/>
      <c r="B20" s="499"/>
      <c r="C20" s="524" t="s">
        <v>69</v>
      </c>
      <c r="D20" s="499" t="s">
        <v>4</v>
      </c>
      <c r="E20" s="519" t="s">
        <v>5</v>
      </c>
      <c r="F20" s="460" t="s">
        <v>6</v>
      </c>
      <c r="G20" s="501" t="s">
        <v>8</v>
      </c>
      <c r="H20" s="460" t="s">
        <v>94</v>
      </c>
      <c r="I20" s="501" t="s">
        <v>9</v>
      </c>
      <c r="J20" s="503" t="s">
        <v>10</v>
      </c>
      <c r="K20" s="501" t="s">
        <v>93</v>
      </c>
      <c r="L20" s="460" t="s">
        <v>11</v>
      </c>
      <c r="M20" s="536" t="s">
        <v>96</v>
      </c>
      <c r="N20" s="547"/>
    </row>
    <row r="21" spans="1:15" ht="15.75" thickBot="1" x14ac:dyDescent="0.3">
      <c r="A21" s="498"/>
      <c r="B21" s="500"/>
      <c r="C21" s="526"/>
      <c r="D21" s="498"/>
      <c r="E21" s="498"/>
      <c r="F21" s="498"/>
      <c r="G21" s="502"/>
      <c r="H21" s="461"/>
      <c r="I21" s="502"/>
      <c r="J21" s="504"/>
      <c r="K21" s="502"/>
      <c r="L21" s="461"/>
      <c r="M21" s="537"/>
      <c r="N21" s="548"/>
    </row>
    <row r="22" spans="1:15" x14ac:dyDescent="0.25">
      <c r="A22" s="30">
        <v>1</v>
      </c>
      <c r="B22" s="31" t="s">
        <v>39</v>
      </c>
      <c r="C22" s="62">
        <f>[1]STA_SP2_NO!$K$25</f>
        <v>17312.099999999999</v>
      </c>
      <c r="D22" s="118">
        <f>[2]STA_SP2_NO!$K$25</f>
        <v>8143.67</v>
      </c>
      <c r="E22" s="61">
        <f>[3]STA_SP2_NO!$K$25</f>
        <v>6108</v>
      </c>
      <c r="F22" s="118">
        <f>[4]STA_SP2_NO!$K$25</f>
        <v>18110.599999999999</v>
      </c>
      <c r="G22" s="143">
        <f>[5]STA_SP2_NO!$K$25</f>
        <v>15006</v>
      </c>
      <c r="H22" s="118">
        <f>[6]STA_SP2_NO!$K$25</f>
        <v>11386.01</v>
      </c>
      <c r="I22" s="143">
        <f>[7]STA_SP2_NO!$K$25</f>
        <v>21735</v>
      </c>
      <c r="J22" s="118">
        <f>[8]STA_SP2_NO!$K$25</f>
        <v>19365</v>
      </c>
      <c r="K22" s="143">
        <f>[9]STA_SP2_NO!$K$25</f>
        <v>41700.699999999997</v>
      </c>
      <c r="L22" s="387">
        <f>[10]STA_SP2_NO!$K$25</f>
        <v>10819</v>
      </c>
      <c r="M22" s="394">
        <f>[11]STA_SP2_NO!$K$25</f>
        <v>198.97</v>
      </c>
      <c r="N22" s="397">
        <f t="shared" ref="N22:N29" si="3">SUM(C22:M22)</f>
        <v>169885.05</v>
      </c>
    </row>
    <row r="23" spans="1:15" x14ac:dyDescent="0.25">
      <c r="A23" s="32">
        <v>2</v>
      </c>
      <c r="B23" s="33" t="s">
        <v>40</v>
      </c>
      <c r="C23" s="62">
        <f>[1]STA_SP2_NO!$K$26</f>
        <v>40904.160000000003</v>
      </c>
      <c r="D23" s="118">
        <f>[2]STA_SP2_NO!$K$26</f>
        <v>40888.239999999998</v>
      </c>
      <c r="E23" s="61">
        <f>[3]STA_SP2_NO!$K$26</f>
        <v>20384</v>
      </c>
      <c r="F23" s="118">
        <f>[4]STA_SP2_NO!$K$26</f>
        <v>24438.34</v>
      </c>
      <c r="G23" s="143">
        <f>[5]STA_SP2_NO!$K$26</f>
        <v>8860</v>
      </c>
      <c r="H23" s="118">
        <f>[6]STA_SP2_NO!$K$26</f>
        <v>12170.98</v>
      </c>
      <c r="I23" s="143">
        <f>[7]STA_SP2_NO!$K$26</f>
        <v>14663</v>
      </c>
      <c r="J23" s="118">
        <f>[8]STA_SP2_NO!$K$26</f>
        <v>22718</v>
      </c>
      <c r="K23" s="143">
        <f>[9]STA_SP2_NO!$K$26</f>
        <v>14450.52</v>
      </c>
      <c r="L23" s="387">
        <f>[10]STA_SP2_NO!$K$26</f>
        <v>11661</v>
      </c>
      <c r="M23" s="394">
        <f>[11]STA_SP2_NO!$K$26</f>
        <v>159.44</v>
      </c>
      <c r="N23" s="397">
        <f t="shared" si="3"/>
        <v>211297.68</v>
      </c>
    </row>
    <row r="24" spans="1:15" x14ac:dyDescent="0.25">
      <c r="A24" s="32">
        <v>3</v>
      </c>
      <c r="B24" s="33" t="s">
        <v>41</v>
      </c>
      <c r="C24" s="62">
        <f>[1]STA_SP2_NO!$K$27</f>
        <v>1372.8</v>
      </c>
      <c r="D24" s="118">
        <f>[2]STA_SP2_NO!$K$27</f>
        <v>1425.56</v>
      </c>
      <c r="E24" s="61">
        <f>[3]STA_SP2_NO!$K$27</f>
        <v>148</v>
      </c>
      <c r="F24" s="118">
        <f>[4]STA_SP2_NO!$K$27</f>
        <v>4530.33</v>
      </c>
      <c r="G24" s="143">
        <f>[5]STA_SP2_NO!$K$27</f>
        <v>423</v>
      </c>
      <c r="H24" s="118">
        <f>[6]STA_SP2_NO!$K$27</f>
        <v>4066.71</v>
      </c>
      <c r="I24" s="143">
        <f>[7]STA_SP2_NO!$K$27</f>
        <v>1466</v>
      </c>
      <c r="J24" s="118">
        <f>[8]STA_SP2_NO!$K$27</f>
        <v>278</v>
      </c>
      <c r="K24" s="143">
        <f>[9]STA_SP2_NO!$K$27</f>
        <v>1362.29</v>
      </c>
      <c r="L24" s="387">
        <f>[10]STA_SP2_NO!$K$27</f>
        <v>1907</v>
      </c>
      <c r="M24" s="394">
        <f>[11]STA_SP2_NO!$K$27</f>
        <v>0</v>
      </c>
      <c r="N24" s="397">
        <f t="shared" si="3"/>
        <v>16979.689999999999</v>
      </c>
    </row>
    <row r="25" spans="1:15" x14ac:dyDescent="0.25">
      <c r="A25" s="32">
        <v>4</v>
      </c>
      <c r="B25" s="33" t="s">
        <v>42</v>
      </c>
      <c r="C25" s="62">
        <f>[1]STA_SP2_NO!$K$28</f>
        <v>0</v>
      </c>
      <c r="D25" s="118">
        <f>[2]STA_SP2_NO!$K$28</f>
        <v>0</v>
      </c>
      <c r="E25" s="61">
        <f>[3]STA_SP2_NO!$K$28</f>
        <v>0</v>
      </c>
      <c r="F25" s="118">
        <f>[4]STA_SP2_NO!$K$28</f>
        <v>0</v>
      </c>
      <c r="G25" s="143">
        <f>[5]STA_SP2_NO!$K$28</f>
        <v>0</v>
      </c>
      <c r="H25" s="118">
        <f>[6]STA_SP2_NO!$K$28</f>
        <v>0</v>
      </c>
      <c r="I25" s="143">
        <f>[7]STA_SP2_NO!$K$28</f>
        <v>0</v>
      </c>
      <c r="J25" s="118">
        <f>[8]STA_SP2_NO!$K$28</f>
        <v>0</v>
      </c>
      <c r="K25" s="143">
        <f>[9]STA_SP2_NO!$K$28</f>
        <v>0</v>
      </c>
      <c r="L25" s="387">
        <f>[10]STA_SP2_NO!$K$28</f>
        <v>0</v>
      </c>
      <c r="M25" s="394">
        <f>[11]STA_SP2_NO!$K$28</f>
        <v>0</v>
      </c>
      <c r="N25" s="397">
        <f t="shared" si="3"/>
        <v>0</v>
      </c>
    </row>
    <row r="26" spans="1:15" x14ac:dyDescent="0.25">
      <c r="A26" s="32">
        <v>5</v>
      </c>
      <c r="B26" s="33" t="s">
        <v>43</v>
      </c>
      <c r="C26" s="62">
        <f>[1]STA_SP2_NO!$K$29</f>
        <v>0</v>
      </c>
      <c r="D26" s="118">
        <f>[2]STA_SP2_NO!$K$29</f>
        <v>0</v>
      </c>
      <c r="E26" s="61">
        <f>[3]STA_SP2_NO!$K$29</f>
        <v>0</v>
      </c>
      <c r="F26" s="118">
        <f>[4]STA_SP2_NO!$K$29</f>
        <v>0</v>
      </c>
      <c r="G26" s="143">
        <f>[5]STA_SP2_NO!$K$29</f>
        <v>0</v>
      </c>
      <c r="H26" s="118">
        <f>[6]STA_SP2_NO!$K$29</f>
        <v>0</v>
      </c>
      <c r="I26" s="143">
        <f>[7]STA_SP2_NO!$K$29</f>
        <v>0</v>
      </c>
      <c r="J26" s="118">
        <f>[8]STA_SP2_NO!$K$29</f>
        <v>0</v>
      </c>
      <c r="K26" s="143">
        <f>[9]STA_SP2_NO!$K$29</f>
        <v>0</v>
      </c>
      <c r="L26" s="387">
        <f>[10]STA_SP2_NO!$K$29</f>
        <v>0</v>
      </c>
      <c r="M26" s="394">
        <f>[11]STA_SP2_NO!$K$29</f>
        <v>0</v>
      </c>
      <c r="N26" s="397">
        <f t="shared" si="3"/>
        <v>0</v>
      </c>
    </row>
    <row r="27" spans="1:15" x14ac:dyDescent="0.25">
      <c r="A27" s="32">
        <v>6</v>
      </c>
      <c r="B27" s="33" t="s">
        <v>44</v>
      </c>
      <c r="C27" s="62">
        <f>[1]STA_SP2_NO!$K$30</f>
        <v>51.38</v>
      </c>
      <c r="D27" s="118">
        <f>[2]STA_SP2_NO!$K$30</f>
        <v>0</v>
      </c>
      <c r="E27" s="61">
        <f>[3]STA_SP2_NO!$K$30</f>
        <v>0</v>
      </c>
      <c r="F27" s="118">
        <f>[4]STA_SP2_NO!$K$30</f>
        <v>174.27</v>
      </c>
      <c r="G27" s="143">
        <f>[5]STA_SP2_NO!$K$30</f>
        <v>16</v>
      </c>
      <c r="H27" s="118">
        <f>[6]STA_SP2_NO!$K$30</f>
        <v>186.58</v>
      </c>
      <c r="I27" s="143">
        <f>[7]STA_SP2_NO!$K$30</f>
        <v>44</v>
      </c>
      <c r="J27" s="118">
        <f>[8]STA_SP2_NO!$K$30</f>
        <v>0</v>
      </c>
      <c r="K27" s="143">
        <f>[9]STA_SP2_NO!$K$30</f>
        <v>0</v>
      </c>
      <c r="L27" s="387">
        <f>[10]STA_SP2_NO!$K$30</f>
        <v>0</v>
      </c>
      <c r="M27" s="394">
        <f>[11]STA_SP2_NO!$K$30</f>
        <v>0</v>
      </c>
      <c r="N27" s="397">
        <f t="shared" si="3"/>
        <v>472.23</v>
      </c>
    </row>
    <row r="28" spans="1:15" x14ac:dyDescent="0.25">
      <c r="A28" s="32">
        <v>7</v>
      </c>
      <c r="B28" s="33" t="s">
        <v>45</v>
      </c>
      <c r="C28" s="62">
        <f>[1]STA_SP2_NO!$K$31</f>
        <v>479.06</v>
      </c>
      <c r="D28" s="118">
        <f>[2]STA_SP2_NO!$K$31</f>
        <v>1100.3699999999999</v>
      </c>
      <c r="E28" s="61">
        <f>[3]STA_SP2_NO!$K$31</f>
        <v>481</v>
      </c>
      <c r="F28" s="118">
        <f>[4]STA_SP2_NO!$K$31</f>
        <v>0</v>
      </c>
      <c r="G28" s="143">
        <f>[5]STA_SP2_NO!$K$31</f>
        <v>60</v>
      </c>
      <c r="H28" s="118">
        <f>[6]STA_SP2_NO!$K$31</f>
        <v>513.22</v>
      </c>
      <c r="I28" s="143">
        <f>[7]STA_SP2_NO!$K$31</f>
        <v>1904</v>
      </c>
      <c r="J28" s="118">
        <f>[8]STA_SP2_NO!$K$31</f>
        <v>96</v>
      </c>
      <c r="K28" s="143">
        <f>[9]STA_SP2_NO!$K$31</f>
        <v>13.59</v>
      </c>
      <c r="L28" s="387">
        <f>[10]STA_SP2_NO!$K$31</f>
        <v>48</v>
      </c>
      <c r="M28" s="394">
        <f>[11]STA_SP2_NO!$K$31</f>
        <v>0</v>
      </c>
      <c r="N28" s="397">
        <f t="shared" si="3"/>
        <v>4695.24</v>
      </c>
    </row>
    <row r="29" spans="1:15" ht="15.75" thickBot="1" x14ac:dyDescent="0.3">
      <c r="A29" s="34">
        <v>8</v>
      </c>
      <c r="B29" s="35" t="s">
        <v>46</v>
      </c>
      <c r="C29" s="62">
        <f>[1]STA_SP2_NO!$K$32</f>
        <v>0</v>
      </c>
      <c r="D29" s="118">
        <f>[2]STA_SP2_NO!$K$32</f>
        <v>0</v>
      </c>
      <c r="E29" s="61">
        <f>[3]STA_SP2_NO!$K$32</f>
        <v>0</v>
      </c>
      <c r="F29" s="118">
        <f>[4]STA_SP2_NO!$K$32</f>
        <v>0</v>
      </c>
      <c r="G29" s="143">
        <f>[5]STA_SP2_NO!$K$32</f>
        <v>0</v>
      </c>
      <c r="H29" s="118">
        <f>[6]STA_SP2_NO!$K$32</f>
        <v>0</v>
      </c>
      <c r="I29" s="143">
        <f>[7]STA_SP2_NO!$K$32</f>
        <v>0</v>
      </c>
      <c r="J29" s="118">
        <f>[8]STA_SP2_NO!$K$32</f>
        <v>0</v>
      </c>
      <c r="K29" s="143">
        <f>[9]STA_SP2_NO!$K$32</f>
        <v>0</v>
      </c>
      <c r="L29" s="387">
        <f>[10]STA_SP2_NO!$K$32</f>
        <v>0</v>
      </c>
      <c r="M29" s="394">
        <f>[11]STA_SP2_NO!$K$32</f>
        <v>0</v>
      </c>
      <c r="N29" s="397">
        <f t="shared" si="3"/>
        <v>0</v>
      </c>
    </row>
    <row r="30" spans="1:15" ht="15.75" thickBot="1" x14ac:dyDescent="0.3">
      <c r="A30" s="57"/>
      <c r="B30" s="37" t="s">
        <v>3</v>
      </c>
      <c r="C30" s="122">
        <f>SUM(C22:C28)</f>
        <v>60119.5</v>
      </c>
      <c r="D30" s="51">
        <f t="shared" ref="D30:E30" si="4">SUM(D22:D29)</f>
        <v>51557.84</v>
      </c>
      <c r="E30" s="41">
        <f t="shared" si="4"/>
        <v>27121</v>
      </c>
      <c r="F30" s="51">
        <f t="shared" ref="F30:M30" si="5">SUM(F22:F29)</f>
        <v>47253.54</v>
      </c>
      <c r="G30" s="40">
        <f t="shared" si="5"/>
        <v>24365</v>
      </c>
      <c r="H30" s="39">
        <f t="shared" si="5"/>
        <v>28323.5</v>
      </c>
      <c r="I30" s="40">
        <f t="shared" si="5"/>
        <v>39812</v>
      </c>
      <c r="J30" s="39">
        <f t="shared" si="5"/>
        <v>42457</v>
      </c>
      <c r="K30" s="40">
        <f t="shared" si="5"/>
        <v>57527.1</v>
      </c>
      <c r="L30" s="338">
        <f t="shared" si="5"/>
        <v>24435</v>
      </c>
      <c r="M30" s="396">
        <f t="shared" si="5"/>
        <v>358.40999999999997</v>
      </c>
      <c r="N30" s="234">
        <f>SUM(C30:M30)</f>
        <v>403329.88999999996</v>
      </c>
    </row>
    <row r="31" spans="1:15" ht="15.75" thickBot="1" x14ac:dyDescent="0.3">
      <c r="A31" s="1"/>
      <c r="B31" s="1"/>
      <c r="C31" s="1"/>
      <c r="D31" s="1"/>
      <c r="E31" s="1"/>
      <c r="F31" s="1"/>
      <c r="G31" s="341"/>
      <c r="H31" s="1"/>
      <c r="I31" s="341"/>
      <c r="J31" s="1"/>
      <c r="K31" s="341"/>
      <c r="L31" s="1"/>
      <c r="M31" s="348"/>
      <c r="N31" s="1"/>
    </row>
    <row r="32" spans="1:15" ht="15.75" thickBot="1" x14ac:dyDescent="0.3">
      <c r="A32" s="543" t="s">
        <v>53</v>
      </c>
      <c r="B32" s="544"/>
      <c r="C32" s="72">
        <f>C30/N30</f>
        <v>0.14905788410573786</v>
      </c>
      <c r="D32" s="71">
        <f>D30/N30</f>
        <v>0.12783044668472252</v>
      </c>
      <c r="E32" s="72">
        <f>E30/N30</f>
        <v>6.7242722824237017E-2</v>
      </c>
      <c r="F32" s="47">
        <f>F30/N30</f>
        <v>0.1171585373947862</v>
      </c>
      <c r="G32" s="48">
        <f>G30/N30</f>
        <v>6.04096066373856E-2</v>
      </c>
      <c r="H32" s="398">
        <f>H30/N30</f>
        <v>7.0224153235952838E-2</v>
      </c>
      <c r="I32" s="48">
        <f>I30/N30</f>
        <v>9.8708280707884066E-2</v>
      </c>
      <c r="J32" s="398">
        <f>J30/N30</f>
        <v>0.10526618793365403</v>
      </c>
      <c r="K32" s="48">
        <f>K30/N30</f>
        <v>0.14263039121648038</v>
      </c>
      <c r="L32" s="399">
        <f>L30/N30</f>
        <v>6.0583161838067598E-2</v>
      </c>
      <c r="M32" s="342">
        <f>M30/N30</f>
        <v>8.8862742109195039E-4</v>
      </c>
      <c r="N32" s="258">
        <f>SUM(C32:M32)</f>
        <v>1</v>
      </c>
    </row>
  </sheetData>
  <mergeCells count="34">
    <mergeCell ref="N19:N21"/>
    <mergeCell ref="C20:C21"/>
    <mergeCell ref="D20:D21"/>
    <mergeCell ref="E20:E21"/>
    <mergeCell ref="N2:N4"/>
    <mergeCell ref="C3:C4"/>
    <mergeCell ref="D3:D4"/>
    <mergeCell ref="E3:E4"/>
    <mergeCell ref="F3:F4"/>
    <mergeCell ref="G3:G4"/>
    <mergeCell ref="L3:L4"/>
    <mergeCell ref="K20:K21"/>
    <mergeCell ref="L20:L21"/>
    <mergeCell ref="M3:M4"/>
    <mergeCell ref="M20:M21"/>
    <mergeCell ref="A16:B16"/>
    <mergeCell ref="C1:K1"/>
    <mergeCell ref="A2:A4"/>
    <mergeCell ref="B2:B4"/>
    <mergeCell ref="H3:H4"/>
    <mergeCell ref="I3:I4"/>
    <mergeCell ref="J3:J4"/>
    <mergeCell ref="K3:K4"/>
    <mergeCell ref="C2:M2"/>
    <mergeCell ref="A32:B32"/>
    <mergeCell ref="C18:K18"/>
    <mergeCell ref="A19:A21"/>
    <mergeCell ref="B19:B21"/>
    <mergeCell ref="F20:F21"/>
    <mergeCell ref="G20:G21"/>
    <mergeCell ref="H20:H21"/>
    <mergeCell ref="I20:I21"/>
    <mergeCell ref="J20:J21"/>
    <mergeCell ref="C19:M19"/>
  </mergeCells>
  <pageMargins left="0.25" right="0.25" top="0.75" bottom="0.75" header="0.3" footer="0.3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I35" sqref="I35"/>
    </sheetView>
  </sheetViews>
  <sheetFormatPr defaultRowHeight="15" x14ac:dyDescent="0.25"/>
  <cols>
    <col min="1" max="1" width="3.7109375" style="1" customWidth="1"/>
    <col min="2" max="2" width="22.5703125" customWidth="1"/>
  </cols>
  <sheetData>
    <row r="1" spans="1:15" ht="30" customHeight="1" thickBot="1" x14ac:dyDescent="0.3">
      <c r="B1" s="26"/>
      <c r="C1" s="455" t="s">
        <v>114</v>
      </c>
      <c r="D1" s="456"/>
      <c r="E1" s="456"/>
      <c r="F1" s="456"/>
      <c r="G1" s="456"/>
      <c r="H1" s="456"/>
      <c r="I1" s="456"/>
      <c r="J1" s="457"/>
      <c r="K1" s="457"/>
      <c r="L1" s="26"/>
      <c r="M1" s="26"/>
      <c r="N1" s="52"/>
    </row>
    <row r="2" spans="1:15" ht="15.75" thickBot="1" x14ac:dyDescent="0.3">
      <c r="A2" s="458" t="s">
        <v>0</v>
      </c>
      <c r="B2" s="460" t="s">
        <v>1</v>
      </c>
      <c r="C2" s="493" t="s">
        <v>2</v>
      </c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505" t="s">
        <v>3</v>
      </c>
    </row>
    <row r="3" spans="1:15" x14ac:dyDescent="0.25">
      <c r="A3" s="497"/>
      <c r="B3" s="499"/>
      <c r="C3" s="524" t="s">
        <v>69</v>
      </c>
      <c r="D3" s="499" t="s">
        <v>4</v>
      </c>
      <c r="E3" s="519" t="s">
        <v>5</v>
      </c>
      <c r="F3" s="460" t="s">
        <v>6</v>
      </c>
      <c r="G3" s="512" t="s">
        <v>8</v>
      </c>
      <c r="H3" s="460" t="s">
        <v>94</v>
      </c>
      <c r="I3" s="501" t="s">
        <v>9</v>
      </c>
      <c r="J3" s="503" t="s">
        <v>10</v>
      </c>
      <c r="K3" s="501" t="s">
        <v>93</v>
      </c>
      <c r="L3" s="460" t="s">
        <v>11</v>
      </c>
      <c r="M3" s="536" t="s">
        <v>96</v>
      </c>
      <c r="N3" s="547"/>
    </row>
    <row r="4" spans="1:15" ht="15.75" thickBot="1" x14ac:dyDescent="0.3">
      <c r="A4" s="498"/>
      <c r="B4" s="500"/>
      <c r="C4" s="526"/>
      <c r="D4" s="498"/>
      <c r="E4" s="498"/>
      <c r="F4" s="498"/>
      <c r="G4" s="513"/>
      <c r="H4" s="461"/>
      <c r="I4" s="502"/>
      <c r="J4" s="504"/>
      <c r="K4" s="502"/>
      <c r="L4" s="461"/>
      <c r="M4" s="537"/>
      <c r="N4" s="548"/>
    </row>
    <row r="5" spans="1:15" x14ac:dyDescent="0.25">
      <c r="A5" s="30">
        <v>1</v>
      </c>
      <c r="B5" s="31" t="s">
        <v>39</v>
      </c>
      <c r="C5" s="62">
        <f>[1]STA_SP2_NO!$J$34</f>
        <v>4</v>
      </c>
      <c r="D5" s="118">
        <f>[2]STA_SP2_NO!$J$34</f>
        <v>1</v>
      </c>
      <c r="E5" s="61">
        <f>[3]STA_SP2_NO!$J$34</f>
        <v>16</v>
      </c>
      <c r="F5" s="118">
        <f>[4]STA_SP2_NO!$J$34</f>
        <v>1</v>
      </c>
      <c r="G5" s="143">
        <f>[5]STA_SP2_NO!$J$34</f>
        <v>0</v>
      </c>
      <c r="H5" s="118">
        <f>[6]STA_SP2_NO!$J$34</f>
        <v>0</v>
      </c>
      <c r="I5" s="143">
        <f>[7]STA_SP2_NO!$J$34</f>
        <v>0</v>
      </c>
      <c r="J5" s="118">
        <f>[8]STA_SP2_NO!$J$34</f>
        <v>1</v>
      </c>
      <c r="K5" s="143">
        <f>[9]STA_SP2_NO!$J$34</f>
        <v>3</v>
      </c>
      <c r="L5" s="387">
        <f>[10]STA_SP2_NO!$J$34</f>
        <v>0</v>
      </c>
      <c r="M5" s="394">
        <f>[11]STA_SP2_NO!$J$34</f>
        <v>0</v>
      </c>
      <c r="N5" s="397">
        <f t="shared" ref="N5:N12" si="0">SUM(C5:M5)</f>
        <v>26</v>
      </c>
    </row>
    <row r="6" spans="1:15" x14ac:dyDescent="0.25">
      <c r="A6" s="32">
        <v>2</v>
      </c>
      <c r="B6" s="33" t="s">
        <v>40</v>
      </c>
      <c r="C6" s="62">
        <f>[1]STA_SP2_NO!$J$35</f>
        <v>0</v>
      </c>
      <c r="D6" s="118">
        <f>[2]STA_SP2_NO!$J$35</f>
        <v>0</v>
      </c>
      <c r="E6" s="61">
        <f>[3]STA_SP2_NO!$J$35</f>
        <v>1</v>
      </c>
      <c r="F6" s="118">
        <f>[4]STA_SP2_NO!$J$35</f>
        <v>0</v>
      </c>
      <c r="G6" s="143">
        <f>[5]STA_SP2_NO!$J$35</f>
        <v>0</v>
      </c>
      <c r="H6" s="118">
        <f>[6]STA_SP2_NO!$J$35</f>
        <v>0</v>
      </c>
      <c r="I6" s="143">
        <f>[7]STA_SP2_NO!$J$35</f>
        <v>0</v>
      </c>
      <c r="J6" s="118">
        <f>[8]STA_SP2_NO!$J$35</f>
        <v>0</v>
      </c>
      <c r="K6" s="143">
        <f>[9]STA_SP2_NO!$J$35</f>
        <v>0</v>
      </c>
      <c r="L6" s="387">
        <f>[10]STA_SP2_NO!$J$35</f>
        <v>0</v>
      </c>
      <c r="M6" s="394">
        <f>[11]STA_SP2_NO!$J$35</f>
        <v>0</v>
      </c>
      <c r="N6" s="397">
        <f t="shared" si="0"/>
        <v>1</v>
      </c>
    </row>
    <row r="7" spans="1:15" x14ac:dyDescent="0.25">
      <c r="A7" s="32">
        <v>3</v>
      </c>
      <c r="B7" s="33" t="s">
        <v>41</v>
      </c>
      <c r="C7" s="62">
        <f>[1]STA_SP2_NO!$J$36</f>
        <v>0</v>
      </c>
      <c r="D7" s="118">
        <f>[2]STA_SP2_NO!$J$36</f>
        <v>0</v>
      </c>
      <c r="E7" s="61">
        <f>[3]STA_SP2_NO!$J$36</f>
        <v>0</v>
      </c>
      <c r="F7" s="118">
        <f>[4]STA_SP2_NO!$J$36</f>
        <v>0</v>
      </c>
      <c r="G7" s="143">
        <f>[5]STA_SP2_NO!$J$36</f>
        <v>0</v>
      </c>
      <c r="H7" s="118">
        <f>[6]STA_SP2_NO!$J$36</f>
        <v>0</v>
      </c>
      <c r="I7" s="143">
        <f>[7]STA_SP2_NO!$J$36</f>
        <v>0</v>
      </c>
      <c r="J7" s="118">
        <f>[8]STA_SP2_NO!$J$36</f>
        <v>0</v>
      </c>
      <c r="K7" s="143">
        <f>[9]STA_SP2_NO!$J$36</f>
        <v>0</v>
      </c>
      <c r="L7" s="387">
        <f>[10]STA_SP2_NO!$J$36</f>
        <v>0</v>
      </c>
      <c r="M7" s="394">
        <f>[11]STA_SP2_NO!$J$36</f>
        <v>0</v>
      </c>
      <c r="N7" s="397">
        <f t="shared" si="0"/>
        <v>0</v>
      </c>
    </row>
    <row r="8" spans="1:15" x14ac:dyDescent="0.25">
      <c r="A8" s="32">
        <v>4</v>
      </c>
      <c r="B8" s="33" t="s">
        <v>42</v>
      </c>
      <c r="C8" s="62">
        <f>[1]STA_SP2_NO!$J$37</f>
        <v>0</v>
      </c>
      <c r="D8" s="118">
        <f>[2]STA_SP2_NO!$J$37</f>
        <v>0</v>
      </c>
      <c r="E8" s="61">
        <f>[3]STA_SP2_NO!$J$37</f>
        <v>0</v>
      </c>
      <c r="F8" s="118">
        <f>[4]STA_SP2_NO!$J$37</f>
        <v>0</v>
      </c>
      <c r="G8" s="143">
        <f>[5]STA_SP2_NO!$J$37</f>
        <v>0</v>
      </c>
      <c r="H8" s="118">
        <f>[6]STA_SP2_NO!$J$37</f>
        <v>0</v>
      </c>
      <c r="I8" s="143">
        <f>[7]STA_SP2_NO!$J$37</f>
        <v>0</v>
      </c>
      <c r="J8" s="118">
        <f>[8]STA_SP2_NO!$J$37</f>
        <v>0</v>
      </c>
      <c r="K8" s="143">
        <f>[9]STA_SP2_NO!$J$37</f>
        <v>0</v>
      </c>
      <c r="L8" s="387">
        <f>[10]STA_SP2_NO!$J$37</f>
        <v>0</v>
      </c>
      <c r="M8" s="394">
        <f>[11]STA_SP2_NO!$J$37</f>
        <v>0</v>
      </c>
      <c r="N8" s="397">
        <f t="shared" si="0"/>
        <v>0</v>
      </c>
    </row>
    <row r="9" spans="1:15" x14ac:dyDescent="0.25">
      <c r="A9" s="32">
        <v>5</v>
      </c>
      <c r="B9" s="33" t="s">
        <v>43</v>
      </c>
      <c r="C9" s="62">
        <f>[1]STA_SP2_NO!$J$38</f>
        <v>0</v>
      </c>
      <c r="D9" s="118">
        <f>[2]STA_SP2_NO!$J$38</f>
        <v>0</v>
      </c>
      <c r="E9" s="61">
        <f>[3]STA_SP2_NO!$J$38</f>
        <v>0</v>
      </c>
      <c r="F9" s="118">
        <f>[4]STA_SP2_NO!$J$38</f>
        <v>0</v>
      </c>
      <c r="G9" s="143">
        <f>[5]STA_SP2_NO!$J$38</f>
        <v>0</v>
      </c>
      <c r="H9" s="118">
        <f>[6]STA_SP2_NO!$J$38</f>
        <v>0</v>
      </c>
      <c r="I9" s="143">
        <f>[7]STA_SP2_NO!$J$38</f>
        <v>0</v>
      </c>
      <c r="J9" s="118">
        <f>[8]STA_SP2_NO!$J$38</f>
        <v>0</v>
      </c>
      <c r="K9" s="143">
        <f>[9]STA_SP2_NO!$J$38</f>
        <v>0</v>
      </c>
      <c r="L9" s="387">
        <f>[10]STA_SP2_NO!$J$38</f>
        <v>0</v>
      </c>
      <c r="M9" s="394">
        <f>[11]STA_SP2_NO!$J$38</f>
        <v>0</v>
      </c>
      <c r="N9" s="397">
        <f t="shared" si="0"/>
        <v>0</v>
      </c>
    </row>
    <row r="10" spans="1:15" x14ac:dyDescent="0.25">
      <c r="A10" s="32">
        <v>6</v>
      </c>
      <c r="B10" s="33" t="s">
        <v>44</v>
      </c>
      <c r="C10" s="62">
        <f>[1]STA_SP2_NO!$J$39</f>
        <v>0</v>
      </c>
      <c r="D10" s="118">
        <f>[2]STA_SP2_NO!$J$39</f>
        <v>0</v>
      </c>
      <c r="E10" s="61">
        <f>[3]STA_SP2_NO!$J$39</f>
        <v>0</v>
      </c>
      <c r="F10" s="118">
        <f>[4]STA_SP2_NO!$J$39</f>
        <v>0</v>
      </c>
      <c r="G10" s="143">
        <f>[5]STA_SP2_NO!$J$39</f>
        <v>0</v>
      </c>
      <c r="H10" s="118">
        <f>[6]STA_SP2_NO!$J$39</f>
        <v>0</v>
      </c>
      <c r="I10" s="143">
        <f>[7]STA_SP2_NO!$J$39</f>
        <v>0</v>
      </c>
      <c r="J10" s="118">
        <f>[8]STA_SP2_NO!$J$39</f>
        <v>0</v>
      </c>
      <c r="K10" s="143">
        <f>[9]STA_SP2_NO!$J$39</f>
        <v>0</v>
      </c>
      <c r="L10" s="387">
        <f>[10]STA_SP2_NO!$J$39</f>
        <v>0</v>
      </c>
      <c r="M10" s="394">
        <f>[11]STA_SP2_NO!$J$39</f>
        <v>0</v>
      </c>
      <c r="N10" s="397">
        <f t="shared" si="0"/>
        <v>0</v>
      </c>
    </row>
    <row r="11" spans="1:15" x14ac:dyDescent="0.25">
      <c r="A11" s="32">
        <v>7</v>
      </c>
      <c r="B11" s="33" t="s">
        <v>45</v>
      </c>
      <c r="C11" s="62">
        <f>[1]STA_SP2_NO!$J$40</f>
        <v>0</v>
      </c>
      <c r="D11" s="118">
        <f>[2]STA_SP2_NO!$J$40</f>
        <v>0</v>
      </c>
      <c r="E11" s="61">
        <f>[3]STA_SP2_NO!$J$40</f>
        <v>0</v>
      </c>
      <c r="F11" s="118">
        <f>[4]STA_SP2_NO!$J$40</f>
        <v>0</v>
      </c>
      <c r="G11" s="143">
        <f>[5]STA_SP2_NO!$J$40</f>
        <v>0</v>
      </c>
      <c r="H11" s="118">
        <f>[6]STA_SP2_NO!$J$40</f>
        <v>0</v>
      </c>
      <c r="I11" s="143">
        <f>[7]STA_SP2_NO!$J$40</f>
        <v>0</v>
      </c>
      <c r="J11" s="118">
        <f>[8]STA_SP2_NO!$J$40</f>
        <v>0</v>
      </c>
      <c r="K11" s="143">
        <f>[9]STA_SP2_NO!$J$40</f>
        <v>0</v>
      </c>
      <c r="L11" s="387">
        <f>[10]STA_SP2_NO!$J$40</f>
        <v>0</v>
      </c>
      <c r="M11" s="394">
        <f>[11]STA_SP2_NO!$J$40</f>
        <v>0</v>
      </c>
      <c r="N11" s="397">
        <f t="shared" si="0"/>
        <v>0</v>
      </c>
    </row>
    <row r="12" spans="1:15" ht="15.75" thickBot="1" x14ac:dyDescent="0.3">
      <c r="A12" s="34">
        <v>8</v>
      </c>
      <c r="B12" s="35" t="s">
        <v>46</v>
      </c>
      <c r="C12" s="62">
        <f>[1]STA_SP2_NO!$J$41</f>
        <v>0</v>
      </c>
      <c r="D12" s="118">
        <f>[2]STA_SP2_NO!$J$41</f>
        <v>0</v>
      </c>
      <c r="E12" s="61">
        <f>[3]STA_SP2_NO!$J$41</f>
        <v>0</v>
      </c>
      <c r="F12" s="118">
        <f>[4]STA_SP2_NO!$J$41</f>
        <v>0</v>
      </c>
      <c r="G12" s="143">
        <f>[5]STA_SP2_NO!$J$41</f>
        <v>0</v>
      </c>
      <c r="H12" s="118">
        <f>[6]STA_SP2_NO!$J$41</f>
        <v>0</v>
      </c>
      <c r="I12" s="143">
        <f>[7]STA_SP2_NO!$J$41</f>
        <v>0</v>
      </c>
      <c r="J12" s="118">
        <f>[8]STA_SP2_NO!$J$41</f>
        <v>0</v>
      </c>
      <c r="K12" s="143">
        <f>[9]STA_SP2_NO!$J$41</f>
        <v>0</v>
      </c>
      <c r="L12" s="387">
        <f>[10]STA_SP2_NO!$J$41</f>
        <v>0</v>
      </c>
      <c r="M12" s="394">
        <f>[11]STA_SP2_NO!$J$41</f>
        <v>0</v>
      </c>
      <c r="N12" s="397">
        <f t="shared" si="0"/>
        <v>0</v>
      </c>
    </row>
    <row r="13" spans="1:15" ht="15.75" thickBot="1" x14ac:dyDescent="0.3">
      <c r="A13" s="57"/>
      <c r="B13" s="37" t="s">
        <v>30</v>
      </c>
      <c r="C13" s="122">
        <f t="shared" ref="C13:F13" si="1">SUM(C5:C12)</f>
        <v>4</v>
      </c>
      <c r="D13" s="39">
        <f t="shared" si="1"/>
        <v>1</v>
      </c>
      <c r="E13" s="41">
        <f t="shared" si="1"/>
        <v>17</v>
      </c>
      <c r="F13" s="39">
        <f t="shared" si="1"/>
        <v>1</v>
      </c>
      <c r="G13" s="40">
        <f t="shared" ref="G13:N13" si="2">SUM(G5:G12)</f>
        <v>0</v>
      </c>
      <c r="H13" s="39">
        <f t="shared" si="2"/>
        <v>0</v>
      </c>
      <c r="I13" s="40">
        <f t="shared" si="2"/>
        <v>0</v>
      </c>
      <c r="J13" s="39">
        <f t="shared" si="2"/>
        <v>1</v>
      </c>
      <c r="K13" s="40">
        <f t="shared" si="2"/>
        <v>3</v>
      </c>
      <c r="L13" s="380">
        <f t="shared" si="2"/>
        <v>0</v>
      </c>
      <c r="M13" s="400">
        <f t="shared" si="2"/>
        <v>0</v>
      </c>
      <c r="N13" s="234">
        <f t="shared" si="2"/>
        <v>27</v>
      </c>
    </row>
    <row r="14" spans="1:15" ht="15.75" thickBot="1" x14ac:dyDescent="0.3">
      <c r="B14" s="1"/>
      <c r="C14" s="1"/>
      <c r="D14" s="1"/>
      <c r="E14" s="1"/>
      <c r="F14" s="1"/>
      <c r="G14" s="341"/>
      <c r="H14" s="1"/>
      <c r="I14" s="341"/>
      <c r="J14" s="1"/>
      <c r="K14" s="341"/>
      <c r="L14" s="1"/>
      <c r="M14" s="348"/>
      <c r="N14" s="1"/>
    </row>
    <row r="15" spans="1:15" ht="15.75" thickBot="1" x14ac:dyDescent="0.3">
      <c r="A15" s="549" t="s">
        <v>53</v>
      </c>
      <c r="B15" s="550"/>
      <c r="C15" s="72">
        <f>C13/N13</f>
        <v>0.14814814814814814</v>
      </c>
      <c r="D15" s="71">
        <f>D13/N13</f>
        <v>3.7037037037037035E-2</v>
      </c>
      <c r="E15" s="70">
        <f>E13/N13</f>
        <v>0.62962962962962965</v>
      </c>
      <c r="F15" s="47">
        <f>F13/N13</f>
        <v>3.7037037037037035E-2</v>
      </c>
      <c r="G15" s="48">
        <f>G13/N13</f>
        <v>0</v>
      </c>
      <c r="H15" s="56">
        <f>H13/N13</f>
        <v>0</v>
      </c>
      <c r="I15" s="48">
        <f>I13/N13</f>
        <v>0</v>
      </c>
      <c r="J15" s="56">
        <f>J13/N13</f>
        <v>3.7037037037037035E-2</v>
      </c>
      <c r="K15" s="48">
        <f>K13/N13</f>
        <v>0.1111111111111111</v>
      </c>
      <c r="L15" s="56">
        <f>L13/N13</f>
        <v>0</v>
      </c>
      <c r="M15" s="342">
        <f>M13/N13</f>
        <v>0</v>
      </c>
      <c r="N15" s="251">
        <f>SUM(C15:M15)</f>
        <v>1</v>
      </c>
    </row>
    <row r="16" spans="1:1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4" ht="15.75" thickBot="1" x14ac:dyDescent="0.3">
      <c r="B17" s="26"/>
      <c r="C17" s="455" t="s">
        <v>115</v>
      </c>
      <c r="D17" s="456"/>
      <c r="E17" s="456"/>
      <c r="F17" s="456"/>
      <c r="G17" s="456"/>
      <c r="H17" s="456"/>
      <c r="I17" s="456"/>
      <c r="J17" s="457"/>
      <c r="K17" s="457"/>
      <c r="L17" s="26"/>
      <c r="M17" s="26"/>
      <c r="N17" s="155" t="s">
        <v>36</v>
      </c>
    </row>
    <row r="18" spans="1:14" ht="15.75" thickBot="1" x14ac:dyDescent="0.3">
      <c r="A18" s="458" t="s">
        <v>0</v>
      </c>
      <c r="B18" s="460" t="s">
        <v>1</v>
      </c>
      <c r="C18" s="493" t="s">
        <v>2</v>
      </c>
      <c r="D18" s="494"/>
      <c r="E18" s="494"/>
      <c r="F18" s="494"/>
      <c r="G18" s="494"/>
      <c r="H18" s="494"/>
      <c r="I18" s="494"/>
      <c r="J18" s="494"/>
      <c r="K18" s="494"/>
      <c r="L18" s="494"/>
      <c r="M18" s="495"/>
      <c r="N18" s="505" t="s">
        <v>3</v>
      </c>
    </row>
    <row r="19" spans="1:14" x14ac:dyDescent="0.25">
      <c r="A19" s="497"/>
      <c r="B19" s="499"/>
      <c r="C19" s="524" t="s">
        <v>69</v>
      </c>
      <c r="D19" s="499" t="s">
        <v>4</v>
      </c>
      <c r="E19" s="519" t="s">
        <v>5</v>
      </c>
      <c r="F19" s="460" t="s">
        <v>6</v>
      </c>
      <c r="G19" s="501" t="s">
        <v>8</v>
      </c>
      <c r="H19" s="460" t="s">
        <v>94</v>
      </c>
      <c r="I19" s="501" t="s">
        <v>9</v>
      </c>
      <c r="J19" s="503" t="s">
        <v>10</v>
      </c>
      <c r="K19" s="501" t="s">
        <v>93</v>
      </c>
      <c r="L19" s="460" t="s">
        <v>11</v>
      </c>
      <c r="M19" s="536" t="s">
        <v>96</v>
      </c>
      <c r="N19" s="547"/>
    </row>
    <row r="20" spans="1:14" ht="15.75" thickBot="1" x14ac:dyDescent="0.3">
      <c r="A20" s="498"/>
      <c r="B20" s="500"/>
      <c r="C20" s="526"/>
      <c r="D20" s="498"/>
      <c r="E20" s="498"/>
      <c r="F20" s="498"/>
      <c r="G20" s="502"/>
      <c r="H20" s="461"/>
      <c r="I20" s="502"/>
      <c r="J20" s="504"/>
      <c r="K20" s="502"/>
      <c r="L20" s="461"/>
      <c r="M20" s="537"/>
      <c r="N20" s="548"/>
    </row>
    <row r="21" spans="1:14" x14ac:dyDescent="0.25">
      <c r="A21" s="30">
        <v>1</v>
      </c>
      <c r="B21" s="31" t="s">
        <v>39</v>
      </c>
      <c r="C21" s="62">
        <f>[1]STA_SP2_NO!$K$34</f>
        <v>509.51</v>
      </c>
      <c r="D21" s="118">
        <f>[2]STA_SP2_NO!$K$34</f>
        <v>167.71</v>
      </c>
      <c r="E21" s="61">
        <f>[3]STA_SP2_NO!$K$34</f>
        <v>9149</v>
      </c>
      <c r="F21" s="118">
        <f>[4]STA_SP2_NO!$K$34</f>
        <v>154.22</v>
      </c>
      <c r="G21" s="143">
        <f>[5]STA_SP2_NO!$K$34</f>
        <v>0</v>
      </c>
      <c r="H21" s="118">
        <f>[6]STA_SP2_NO!$K$34</f>
        <v>0</v>
      </c>
      <c r="I21" s="143">
        <f>[7]STA_SP2_NO!$K$34</f>
        <v>0</v>
      </c>
      <c r="J21" s="118">
        <f>[8]STA_SP2_NO!$K$34</f>
        <v>15</v>
      </c>
      <c r="K21" s="143">
        <f>[9]STA_SP2_NO!$K$34</f>
        <v>366.32</v>
      </c>
      <c r="L21" s="387">
        <f>[10]STA_SP2_NO!$K$34</f>
        <v>0</v>
      </c>
      <c r="M21" s="394">
        <f>[11]STA_SP2_NO!$K$34</f>
        <v>0</v>
      </c>
      <c r="N21" s="397">
        <f t="shared" ref="N21:N28" si="3">SUM(C21:M21)</f>
        <v>10361.759999999998</v>
      </c>
    </row>
    <row r="22" spans="1:14" x14ac:dyDescent="0.25">
      <c r="A22" s="32">
        <v>2</v>
      </c>
      <c r="B22" s="33" t="s">
        <v>40</v>
      </c>
      <c r="C22" s="62">
        <f>[1]STA_SP2_NO!$K$35</f>
        <v>0</v>
      </c>
      <c r="D22" s="118">
        <f>[2]STA_SP2_NO!$K$35</f>
        <v>0</v>
      </c>
      <c r="E22" s="61">
        <f>[3]STA_SP2_NO!$K$35</f>
        <v>55</v>
      </c>
      <c r="F22" s="118">
        <f>[4]STA_SP2_NO!$K$35</f>
        <v>0</v>
      </c>
      <c r="G22" s="143">
        <f>[5]STA_SP2_NO!$K$35</f>
        <v>0</v>
      </c>
      <c r="H22" s="118">
        <f>[6]STA_SP2_NO!$K$35</f>
        <v>0</v>
      </c>
      <c r="I22" s="143">
        <f>[7]STA_SP2_NO!$K$35</f>
        <v>0</v>
      </c>
      <c r="J22" s="118">
        <f>[8]STA_SP2_NO!$K$35</f>
        <v>0</v>
      </c>
      <c r="K22" s="143">
        <f>[9]STA_SP2_NO!$K$35</f>
        <v>0</v>
      </c>
      <c r="L22" s="387">
        <f>[10]STA_SP2_NO!$K$35</f>
        <v>0</v>
      </c>
      <c r="M22" s="394">
        <f>[11]STA_SP2_NO!$K$35</f>
        <v>0</v>
      </c>
      <c r="N22" s="397">
        <f t="shared" si="3"/>
        <v>55</v>
      </c>
    </row>
    <row r="23" spans="1:14" x14ac:dyDescent="0.25">
      <c r="A23" s="32">
        <v>3</v>
      </c>
      <c r="B23" s="33" t="s">
        <v>41</v>
      </c>
      <c r="C23" s="62">
        <f>[1]STA_SP2_NO!$K$36</f>
        <v>0</v>
      </c>
      <c r="D23" s="118">
        <f>[2]STA_SP2_NO!$K$36</f>
        <v>0</v>
      </c>
      <c r="E23" s="61">
        <f>[3]STA_SP2_NO!$K$36</f>
        <v>0</v>
      </c>
      <c r="F23" s="118">
        <f>[4]STA_SP2_NO!$K$36</f>
        <v>0</v>
      </c>
      <c r="G23" s="143">
        <f>[5]STA_SP2_NO!$K$36</f>
        <v>0</v>
      </c>
      <c r="H23" s="118">
        <f>[6]STA_SP2_NO!$K$36</f>
        <v>0</v>
      </c>
      <c r="I23" s="143">
        <f>[7]STA_SP2_NO!$K$36</f>
        <v>0</v>
      </c>
      <c r="J23" s="118">
        <f>[8]STA_SP2_NO!$K$36</f>
        <v>0</v>
      </c>
      <c r="K23" s="143">
        <f>[9]STA_SP2_NO!$K$36</f>
        <v>0</v>
      </c>
      <c r="L23" s="387">
        <f>[10]STA_SP2_NO!$K$36</f>
        <v>0</v>
      </c>
      <c r="M23" s="394">
        <f>[11]STA_SP2_NO!$K$36</f>
        <v>0</v>
      </c>
      <c r="N23" s="397">
        <f t="shared" si="3"/>
        <v>0</v>
      </c>
    </row>
    <row r="24" spans="1:14" x14ac:dyDescent="0.25">
      <c r="A24" s="32">
        <v>4</v>
      </c>
      <c r="B24" s="33" t="s">
        <v>42</v>
      </c>
      <c r="C24" s="62">
        <f>[1]STA_SP2_NO!$K$37</f>
        <v>0</v>
      </c>
      <c r="D24" s="118">
        <f>[2]STA_SP2_NO!$K$37</f>
        <v>0</v>
      </c>
      <c r="E24" s="61">
        <f>[3]STA_SP2_NO!$K$37</f>
        <v>0</v>
      </c>
      <c r="F24" s="118">
        <f>[4]STA_SP2_NO!$K$37</f>
        <v>0</v>
      </c>
      <c r="G24" s="143">
        <f>[5]STA_SP2_NO!$K$37</f>
        <v>0</v>
      </c>
      <c r="H24" s="118">
        <f>[6]STA_SP2_NO!$K$37</f>
        <v>0</v>
      </c>
      <c r="I24" s="143">
        <f>[7]STA_SP2_NO!$K$37</f>
        <v>0</v>
      </c>
      <c r="J24" s="118">
        <f>[8]STA_SP2_NO!$K$37</f>
        <v>0</v>
      </c>
      <c r="K24" s="143">
        <f>[9]STA_SP2_NO!$K$37</f>
        <v>0</v>
      </c>
      <c r="L24" s="387">
        <f>[10]STA_SP2_NO!$K$37</f>
        <v>0</v>
      </c>
      <c r="M24" s="394">
        <f>[11]STA_SP2_NO!$K$37</f>
        <v>0</v>
      </c>
      <c r="N24" s="397">
        <f t="shared" si="3"/>
        <v>0</v>
      </c>
    </row>
    <row r="25" spans="1:14" x14ac:dyDescent="0.25">
      <c r="A25" s="32">
        <v>5</v>
      </c>
      <c r="B25" s="33" t="s">
        <v>43</v>
      </c>
      <c r="C25" s="62">
        <f>[1]STA_SP2_NO!$K$38</f>
        <v>0</v>
      </c>
      <c r="D25" s="118">
        <f>[2]STA_SP2_NO!$K$38</f>
        <v>0</v>
      </c>
      <c r="E25" s="61">
        <f>[3]STA_SP2_NO!$K$38</f>
        <v>0</v>
      </c>
      <c r="F25" s="118">
        <f>[4]STA_SP2_NO!$K$38</f>
        <v>0</v>
      </c>
      <c r="G25" s="143">
        <f>[5]STA_SP2_NO!$K$38</f>
        <v>0</v>
      </c>
      <c r="H25" s="118">
        <f>[6]STA_SP2_NO!$K$38</f>
        <v>0</v>
      </c>
      <c r="I25" s="143">
        <f>[7]STA_SP2_NO!$K$38</f>
        <v>0</v>
      </c>
      <c r="J25" s="118">
        <f>[8]STA_SP2_NO!$K$38</f>
        <v>0</v>
      </c>
      <c r="K25" s="143">
        <f>[9]STA_SP2_NO!$K$38</f>
        <v>0</v>
      </c>
      <c r="L25" s="387">
        <f>[10]STA_SP2_NO!$K$38</f>
        <v>0</v>
      </c>
      <c r="M25" s="394">
        <f>[11]STA_SP2_NO!$K$38</f>
        <v>0</v>
      </c>
      <c r="N25" s="397">
        <f t="shared" si="3"/>
        <v>0</v>
      </c>
    </row>
    <row r="26" spans="1:14" x14ac:dyDescent="0.25">
      <c r="A26" s="32">
        <v>6</v>
      </c>
      <c r="B26" s="33" t="s">
        <v>44</v>
      </c>
      <c r="C26" s="62">
        <f>[1]STA_SP2_NO!$K$39</f>
        <v>0</v>
      </c>
      <c r="D26" s="118">
        <f>[2]STA_SP2_NO!$K$39</f>
        <v>0</v>
      </c>
      <c r="E26" s="61">
        <f>[3]STA_SP2_NO!$K$39</f>
        <v>0</v>
      </c>
      <c r="F26" s="118">
        <f>[4]STA_SP2_NO!$K$39</f>
        <v>0</v>
      </c>
      <c r="G26" s="143">
        <f>[5]STA_SP2_NO!$K$39</f>
        <v>0</v>
      </c>
      <c r="H26" s="118">
        <f>[6]STA_SP2_NO!$K$39</f>
        <v>0</v>
      </c>
      <c r="I26" s="143">
        <f>[7]STA_SP2_NO!$K$39</f>
        <v>0</v>
      </c>
      <c r="J26" s="118">
        <f>[8]STA_SP2_NO!$K$39</f>
        <v>0</v>
      </c>
      <c r="K26" s="143">
        <f>[9]STA_SP2_NO!$K$39</f>
        <v>0</v>
      </c>
      <c r="L26" s="387">
        <f>[10]STA_SP2_NO!$K$39</f>
        <v>0</v>
      </c>
      <c r="M26" s="394">
        <f>[11]STA_SP2_NO!$K$39</f>
        <v>0</v>
      </c>
      <c r="N26" s="397">
        <f t="shared" si="3"/>
        <v>0</v>
      </c>
    </row>
    <row r="27" spans="1:14" x14ac:dyDescent="0.25">
      <c r="A27" s="32">
        <v>7</v>
      </c>
      <c r="B27" s="33" t="s">
        <v>45</v>
      </c>
      <c r="C27" s="62">
        <f>[1]STA_SP2_NO!$K$40</f>
        <v>0</v>
      </c>
      <c r="D27" s="118">
        <f>[2]STA_SP2_NO!$K$40</f>
        <v>0</v>
      </c>
      <c r="E27" s="61">
        <f>[3]STA_SP2_NO!$K$40</f>
        <v>0</v>
      </c>
      <c r="F27" s="118">
        <f>[4]STA_SP2_NO!$K$40</f>
        <v>0</v>
      </c>
      <c r="G27" s="143">
        <f>[5]STA_SP2_NO!$K$40</f>
        <v>0</v>
      </c>
      <c r="H27" s="118">
        <f>[6]STA_SP2_NO!$K$40</f>
        <v>0</v>
      </c>
      <c r="I27" s="143">
        <f>[7]STA_SP2_NO!$K$40</f>
        <v>0</v>
      </c>
      <c r="J27" s="118">
        <f>[8]STA_SP2_NO!$K$40</f>
        <v>0</v>
      </c>
      <c r="K27" s="143">
        <f>[9]STA_SP2_NO!$K$40</f>
        <v>0</v>
      </c>
      <c r="L27" s="387">
        <f>[10]STA_SP2_NO!$K$40</f>
        <v>0</v>
      </c>
      <c r="M27" s="394">
        <f>[11]STA_SP2_NO!$K$40</f>
        <v>0</v>
      </c>
      <c r="N27" s="397">
        <f t="shared" si="3"/>
        <v>0</v>
      </c>
    </row>
    <row r="28" spans="1:14" ht="15.75" thickBot="1" x14ac:dyDescent="0.3">
      <c r="A28" s="34">
        <v>8</v>
      </c>
      <c r="B28" s="35" t="s">
        <v>46</v>
      </c>
      <c r="C28" s="62">
        <f>[1]STA_SP2_NO!$K$41</f>
        <v>0</v>
      </c>
      <c r="D28" s="118">
        <f>[2]STA_SP2_NO!$K$41</f>
        <v>0</v>
      </c>
      <c r="E28" s="61">
        <f>[3]STA_SP2_NO!$K$41</f>
        <v>0</v>
      </c>
      <c r="F28" s="118">
        <f>[4]STA_SP2_NO!$K$41</f>
        <v>0</v>
      </c>
      <c r="G28" s="143">
        <f>[5]STA_SP2_NO!$K$41</f>
        <v>0</v>
      </c>
      <c r="H28" s="118">
        <f>[6]STA_SP2_NO!$K$41</f>
        <v>0</v>
      </c>
      <c r="I28" s="143">
        <f>[7]STA_SP2_NO!$K$41</f>
        <v>0</v>
      </c>
      <c r="J28" s="118">
        <f>[8]STA_SP2_NO!$K$41</f>
        <v>0</v>
      </c>
      <c r="K28" s="143">
        <f>[9]STA_SP2_NO!$K$41</f>
        <v>0</v>
      </c>
      <c r="L28" s="387">
        <f>[10]STA_SP2_NO!$K$41</f>
        <v>0</v>
      </c>
      <c r="M28" s="394">
        <f>[11]STA_SP2_NO!$K$41</f>
        <v>0</v>
      </c>
      <c r="N28" s="397">
        <f t="shared" si="3"/>
        <v>0</v>
      </c>
    </row>
    <row r="29" spans="1:14" ht="15.75" thickBot="1" x14ac:dyDescent="0.3">
      <c r="A29" s="36"/>
      <c r="B29" s="37" t="s">
        <v>37</v>
      </c>
      <c r="C29" s="73">
        <f t="shared" ref="C29:F29" si="4">SUM(C21:C28)</f>
        <v>509.51</v>
      </c>
      <c r="D29" s="39">
        <f t="shared" si="4"/>
        <v>167.71</v>
      </c>
      <c r="E29" s="73">
        <f t="shared" si="4"/>
        <v>9204</v>
      </c>
      <c r="F29" s="39">
        <f t="shared" si="4"/>
        <v>154.22</v>
      </c>
      <c r="G29" s="392">
        <f t="shared" ref="G29:N29" si="5">SUM(G21:G28)</f>
        <v>0</v>
      </c>
      <c r="H29" s="51">
        <f t="shared" si="5"/>
        <v>0</v>
      </c>
      <c r="I29" s="41">
        <f t="shared" si="5"/>
        <v>0</v>
      </c>
      <c r="J29" s="51">
        <f t="shared" si="5"/>
        <v>15</v>
      </c>
      <c r="K29" s="41">
        <f t="shared" si="5"/>
        <v>366.32</v>
      </c>
      <c r="L29" s="338">
        <f t="shared" si="5"/>
        <v>0</v>
      </c>
      <c r="M29" s="400">
        <f t="shared" si="5"/>
        <v>0</v>
      </c>
      <c r="N29" s="234">
        <f t="shared" si="5"/>
        <v>10416.759999999998</v>
      </c>
    </row>
    <row r="30" spans="1:14" ht="15.75" thickBot="1" x14ac:dyDescent="0.3">
      <c r="B30" s="1"/>
      <c r="C30" s="1"/>
      <c r="D30" s="1"/>
      <c r="E30" s="1"/>
      <c r="F30" s="1"/>
      <c r="G30" s="341"/>
      <c r="H30" s="1"/>
      <c r="I30" s="341"/>
      <c r="J30" s="1"/>
      <c r="K30" s="341"/>
      <c r="L30" s="1"/>
      <c r="M30" s="348"/>
      <c r="N30" s="1"/>
    </row>
    <row r="31" spans="1:14" ht="15.75" thickBot="1" x14ac:dyDescent="0.3">
      <c r="A31" s="549" t="s">
        <v>53</v>
      </c>
      <c r="B31" s="550"/>
      <c r="C31" s="70">
        <f>C29/N29</f>
        <v>4.8912521743805185E-2</v>
      </c>
      <c r="D31" s="71">
        <f>D29/N29</f>
        <v>1.6100015743858938E-2</v>
      </c>
      <c r="E31" s="70">
        <f>E29/N29</f>
        <v>0.88357608315829506</v>
      </c>
      <c r="F31" s="71">
        <f>F29/N29</f>
        <v>1.4804987347313369E-2</v>
      </c>
      <c r="G31" s="55">
        <f>G29/N29</f>
        <v>0</v>
      </c>
      <c r="H31" s="56">
        <f>H29/N29</f>
        <v>0</v>
      </c>
      <c r="I31" s="55">
        <f>I29/N29</f>
        <v>0</v>
      </c>
      <c r="J31" s="56">
        <f>J29/N29</f>
        <v>1.4399870977156047E-3</v>
      </c>
      <c r="K31" s="55">
        <f>K29/N29</f>
        <v>3.5166404909012017E-2</v>
      </c>
      <c r="L31" s="56">
        <f>L29/N29</f>
        <v>0</v>
      </c>
      <c r="M31" s="342">
        <f>M29/N29</f>
        <v>0</v>
      </c>
      <c r="N31" s="261">
        <f>SUM(C31:M31)</f>
        <v>1.0000000000000002</v>
      </c>
    </row>
  </sheetData>
  <mergeCells count="34">
    <mergeCell ref="C1:K1"/>
    <mergeCell ref="B2:B4"/>
    <mergeCell ref="N2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18:N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C18:M18"/>
    <mergeCell ref="A31:B31"/>
    <mergeCell ref="C17:K17"/>
    <mergeCell ref="A18:A20"/>
    <mergeCell ref="B18:B20"/>
    <mergeCell ref="A2:A4"/>
    <mergeCell ref="A15:B15"/>
    <mergeCell ref="C2:M2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J34" sqref="J34"/>
    </sheetView>
  </sheetViews>
  <sheetFormatPr defaultRowHeight="15" x14ac:dyDescent="0.25"/>
  <cols>
    <col min="1" max="1" width="4.42578125" customWidth="1"/>
    <col min="2" max="2" width="27.85546875" customWidth="1"/>
    <col min="3" max="3" width="9.140625" customWidth="1"/>
    <col min="4" max="4" width="9.85546875" bestFit="1" customWidth="1"/>
    <col min="8" max="8" width="9.85546875" bestFit="1" customWidth="1"/>
  </cols>
  <sheetData>
    <row r="1" spans="1:14" ht="33.75" customHeight="1" thickBot="1" x14ac:dyDescent="0.3">
      <c r="A1" s="26"/>
      <c r="B1" s="26"/>
      <c r="C1" s="455" t="s">
        <v>116</v>
      </c>
      <c r="D1" s="456"/>
      <c r="E1" s="456"/>
      <c r="F1" s="456"/>
      <c r="G1" s="456"/>
      <c r="H1" s="456"/>
      <c r="I1" s="456"/>
      <c r="J1" s="26"/>
      <c r="K1" s="26"/>
      <c r="L1" s="26"/>
      <c r="M1" s="26"/>
      <c r="N1" s="157" t="s">
        <v>36</v>
      </c>
    </row>
    <row r="2" spans="1:14" ht="15.75" thickBot="1" x14ac:dyDescent="0.3">
      <c r="A2" s="458" t="s">
        <v>0</v>
      </c>
      <c r="B2" s="460" t="s">
        <v>1</v>
      </c>
      <c r="C2" s="490" t="s">
        <v>2</v>
      </c>
      <c r="D2" s="491"/>
      <c r="E2" s="491"/>
      <c r="F2" s="491"/>
      <c r="G2" s="491"/>
      <c r="H2" s="491"/>
      <c r="I2" s="491"/>
      <c r="J2" s="491"/>
      <c r="K2" s="491"/>
      <c r="L2" s="491"/>
      <c r="M2" s="553"/>
      <c r="N2" s="462" t="s">
        <v>3</v>
      </c>
    </row>
    <row r="3" spans="1:14" ht="15.75" thickBot="1" x14ac:dyDescent="0.3">
      <c r="A3" s="459"/>
      <c r="B3" s="489"/>
      <c r="C3" s="354" t="s">
        <v>69</v>
      </c>
      <c r="D3" s="344" t="s">
        <v>4</v>
      </c>
      <c r="E3" s="355" t="s">
        <v>5</v>
      </c>
      <c r="F3" s="344" t="s">
        <v>6</v>
      </c>
      <c r="G3" s="357" t="s">
        <v>8</v>
      </c>
      <c r="H3" s="356" t="s">
        <v>94</v>
      </c>
      <c r="I3" s="357" t="s">
        <v>9</v>
      </c>
      <c r="J3" s="372" t="s">
        <v>10</v>
      </c>
      <c r="K3" s="357" t="s">
        <v>93</v>
      </c>
      <c r="L3" s="407" t="s">
        <v>11</v>
      </c>
      <c r="M3" s="357" t="s">
        <v>96</v>
      </c>
      <c r="N3" s="551"/>
    </row>
    <row r="4" spans="1:14" x14ac:dyDescent="0.25">
      <c r="A4" s="30">
        <v>1</v>
      </c>
      <c r="B4" s="351" t="s">
        <v>12</v>
      </c>
      <c r="C4" s="370">
        <f>[1]STA_SP4_NO!$P$10</f>
        <v>100978.96</v>
      </c>
      <c r="D4" s="402">
        <f>[2]STA_SP4_NO!$P$10</f>
        <v>90524.59</v>
      </c>
      <c r="E4" s="370">
        <f>[3]STA_SP4_NO!$P$10</f>
        <v>25007</v>
      </c>
      <c r="F4" s="54">
        <f>[4]STA_SP4_NO!$P$10</f>
        <v>72129</v>
      </c>
      <c r="G4" s="62">
        <f>[5]STA_SP4_NO!$P$10</f>
        <v>75818</v>
      </c>
      <c r="H4" s="54">
        <f>[6]STA_SP4_NO!$P$10</f>
        <v>27131</v>
      </c>
      <c r="I4" s="62">
        <f>[7]STA_SP4_NO!$P$10</f>
        <v>47654</v>
      </c>
      <c r="J4" s="54">
        <f>[8]STA_SP4_NO!$P$10</f>
        <v>34439</v>
      </c>
      <c r="K4" s="62">
        <f>[9]STA_SP4_NO!$P$10</f>
        <v>60378.23</v>
      </c>
      <c r="L4" s="54">
        <f>[10]STA_SP4_NO!$P$10</f>
        <v>111444</v>
      </c>
      <c r="M4" s="405">
        <f>[11]STA_SP4_NO!$P$10</f>
        <v>909.31</v>
      </c>
      <c r="N4" s="403">
        <f t="shared" ref="N4:N22" si="0">SUM(C4:M4)</f>
        <v>646413.09000000008</v>
      </c>
    </row>
    <row r="5" spans="1:14" x14ac:dyDescent="0.25">
      <c r="A5" s="32">
        <v>2</v>
      </c>
      <c r="B5" s="352" t="s">
        <v>13</v>
      </c>
      <c r="C5" s="370">
        <f>[1]STA_SP4_NO!$P$11</f>
        <v>179006.62</v>
      </c>
      <c r="D5" s="402">
        <f>[2]STA_SP4_NO!$P$11</f>
        <v>178022.98</v>
      </c>
      <c r="E5" s="370">
        <f>[3]STA_SP4_NO!$P$11</f>
        <v>11646</v>
      </c>
      <c r="F5" s="54">
        <f>[4]STA_SP4_NO!$P$11</f>
        <v>121585</v>
      </c>
      <c r="G5" s="62">
        <f>[5]STA_SP4_NO!$P$11</f>
        <v>187210</v>
      </c>
      <c r="H5" s="54">
        <f>[6]STA_SP4_NO!$P$11</f>
        <v>0</v>
      </c>
      <c r="I5" s="62">
        <f>[7]STA_SP4_NO!$P$11</f>
        <v>116257</v>
      </c>
      <c r="J5" s="54">
        <f>[8]STA_SP4_NO!$P$11</f>
        <v>0</v>
      </c>
      <c r="K5" s="62">
        <f>[9]STA_SP4_NO!$P$11</f>
        <v>108321.22</v>
      </c>
      <c r="L5" s="54">
        <f>[10]STA_SP4_NO!$P$11</f>
        <v>186026</v>
      </c>
      <c r="M5" s="408">
        <f>[11]STA_SP4_NO!$P$11</f>
        <v>0</v>
      </c>
      <c r="N5" s="403">
        <f t="shared" si="0"/>
        <v>1088074.8199999998</v>
      </c>
    </row>
    <row r="6" spans="1:14" x14ac:dyDescent="0.25">
      <c r="A6" s="32">
        <v>3</v>
      </c>
      <c r="B6" s="352" t="s">
        <v>14</v>
      </c>
      <c r="C6" s="370">
        <f>[1]STA_SP4_NO!$P$12</f>
        <v>138375.26999999999</v>
      </c>
      <c r="D6" s="402">
        <f>[2]STA_SP4_NO!$P$12</f>
        <v>136294.43</v>
      </c>
      <c r="E6" s="370">
        <f>[3]STA_SP4_NO!$P$12</f>
        <v>58367</v>
      </c>
      <c r="F6" s="54">
        <f>[4]STA_SP4_NO!$P$12</f>
        <v>218997</v>
      </c>
      <c r="G6" s="62">
        <f>[5]STA_SP4_NO!$P$12</f>
        <v>135725</v>
      </c>
      <c r="H6" s="54">
        <f>[6]STA_SP4_NO!$P$12</f>
        <v>20754</v>
      </c>
      <c r="I6" s="62">
        <f>[7]STA_SP4_NO!$P$12</f>
        <v>93534</v>
      </c>
      <c r="J6" s="54">
        <f>[8]STA_SP4_NO!$P$12</f>
        <v>90934</v>
      </c>
      <c r="K6" s="62">
        <f>[9]STA_SP4_NO!$P$12</f>
        <v>101532.12</v>
      </c>
      <c r="L6" s="54">
        <f>[10]STA_SP4_NO!$P$12</f>
        <v>97521</v>
      </c>
      <c r="M6" s="405">
        <f>[11]STA_SP4_NO!$P$12</f>
        <v>2998.43</v>
      </c>
      <c r="N6" s="403">
        <f t="shared" si="0"/>
        <v>1095032.2499999998</v>
      </c>
    </row>
    <row r="7" spans="1:14" x14ac:dyDescent="0.25">
      <c r="A7" s="32">
        <v>4</v>
      </c>
      <c r="B7" s="352" t="s">
        <v>15</v>
      </c>
      <c r="C7" s="370">
        <f>[1]STA_SP4_NO!$P$13</f>
        <v>0</v>
      </c>
      <c r="D7" s="402">
        <f>[2]STA_SP4_NO!$P$13</f>
        <v>0</v>
      </c>
      <c r="E7" s="370">
        <f>[3]STA_SP4_NO!$P$13</f>
        <v>0</v>
      </c>
      <c r="F7" s="54">
        <f>[4]STA_SP4_NO!$P$13</f>
        <v>0</v>
      </c>
      <c r="G7" s="62">
        <f>[5]STA_SP4_NO!$P$13</f>
        <v>0</v>
      </c>
      <c r="H7" s="54">
        <f>[6]STA_SP4_NO!$P$13</f>
        <v>0</v>
      </c>
      <c r="I7" s="62">
        <f>[7]STA_SP4_NO!$P$13</f>
        <v>0</v>
      </c>
      <c r="J7" s="54">
        <f>[8]STA_SP4_NO!$P$13</f>
        <v>0</v>
      </c>
      <c r="K7" s="62">
        <f>[9]STA_SP4_NO!$P$13</f>
        <v>0</v>
      </c>
      <c r="L7" s="54">
        <f>[10]STA_SP4_NO!$P$13</f>
        <v>0</v>
      </c>
      <c r="M7" s="409">
        <f>[11]STA_SP4_NO!$P$13</f>
        <v>0</v>
      </c>
      <c r="N7" s="403">
        <f t="shared" si="0"/>
        <v>0</v>
      </c>
    </row>
    <row r="8" spans="1:14" x14ac:dyDescent="0.25">
      <c r="A8" s="32">
        <v>5</v>
      </c>
      <c r="B8" s="352" t="s">
        <v>16</v>
      </c>
      <c r="C8" s="370">
        <f>[1]STA_SP4_NO!$P$14</f>
        <v>0</v>
      </c>
      <c r="D8" s="402">
        <f>[2]STA_SP4_NO!$P$14</f>
        <v>0</v>
      </c>
      <c r="E8" s="370">
        <f>[3]STA_SP4_NO!$P$14</f>
        <v>0</v>
      </c>
      <c r="F8" s="54">
        <f>[4]STA_SP4_NO!$P$14</f>
        <v>0</v>
      </c>
      <c r="G8" s="62">
        <f>[5]STA_SP4_NO!$P$14</f>
        <v>57174</v>
      </c>
      <c r="H8" s="54">
        <f>[6]STA_SP4_NO!$P$14</f>
        <v>0</v>
      </c>
      <c r="I8" s="62">
        <f>[7]STA_SP4_NO!$P$14</f>
        <v>3289</v>
      </c>
      <c r="J8" s="54">
        <f>[8]STA_SP4_NO!$P$14</f>
        <v>600</v>
      </c>
      <c r="K8" s="62">
        <f>[9]STA_SP4_NO!$P$14</f>
        <v>0</v>
      </c>
      <c r="L8" s="54">
        <f>[10]STA_SP4_NO!$P$14</f>
        <v>11675</v>
      </c>
      <c r="M8" s="409">
        <f>[11]STA_SP4_NO!$P$14</f>
        <v>0</v>
      </c>
      <c r="N8" s="403">
        <f t="shared" si="0"/>
        <v>72738</v>
      </c>
    </row>
    <row r="9" spans="1:14" x14ac:dyDescent="0.25">
      <c r="A9" s="32">
        <v>6</v>
      </c>
      <c r="B9" s="352" t="s">
        <v>17</v>
      </c>
      <c r="C9" s="370">
        <f>[1]STA_SP4_NO!$P$15</f>
        <v>196.15</v>
      </c>
      <c r="D9" s="402">
        <f>[2]STA_SP4_NO!$P$15</f>
        <v>154.4</v>
      </c>
      <c r="E9" s="370">
        <f>[3]STA_SP4_NO!$P$15</f>
        <v>25</v>
      </c>
      <c r="F9" s="54">
        <f>[4]STA_SP4_NO!$P$15</f>
        <v>871</v>
      </c>
      <c r="G9" s="62">
        <f>[5]STA_SP4_NO!$P$15</f>
        <v>26</v>
      </c>
      <c r="H9" s="54">
        <f>[6]STA_SP4_NO!$P$15</f>
        <v>0</v>
      </c>
      <c r="I9" s="62">
        <f>[7]STA_SP4_NO!$P$15</f>
        <v>46</v>
      </c>
      <c r="J9" s="54">
        <f>[8]STA_SP4_NO!$P$15</f>
        <v>231</v>
      </c>
      <c r="K9" s="62">
        <f>[9]STA_SP4_NO!$P$15</f>
        <v>138.4</v>
      </c>
      <c r="L9" s="54">
        <f>[10]STA_SP4_NO!$P$15</f>
        <v>0</v>
      </c>
      <c r="M9" s="409">
        <f>[11]STA_SP4_NO!$P$15</f>
        <v>0</v>
      </c>
      <c r="N9" s="403">
        <f t="shared" si="0"/>
        <v>1687.95</v>
      </c>
    </row>
    <row r="10" spans="1:14" x14ac:dyDescent="0.25">
      <c r="A10" s="32">
        <v>7</v>
      </c>
      <c r="B10" s="352" t="s">
        <v>18</v>
      </c>
      <c r="C10" s="370">
        <f>[1]STA_SP4_NO!$P$16</f>
        <v>18275.28</v>
      </c>
      <c r="D10" s="402">
        <f>[2]STA_SP4_NO!$P$16</f>
        <v>22282.3</v>
      </c>
      <c r="E10" s="370">
        <f>[3]STA_SP4_NO!$P$16</f>
        <v>13051</v>
      </c>
      <c r="F10" s="54">
        <f>[4]STA_SP4_NO!$P$16</f>
        <v>4293</v>
      </c>
      <c r="G10" s="62">
        <f>[5]STA_SP4_NO!$P$16</f>
        <v>4496</v>
      </c>
      <c r="H10" s="54">
        <f>[6]STA_SP4_NO!$P$16</f>
        <v>0</v>
      </c>
      <c r="I10" s="62">
        <f>[7]STA_SP4_NO!$P$16</f>
        <v>10142</v>
      </c>
      <c r="J10" s="54">
        <f>[8]STA_SP4_NO!$P$16</f>
        <v>2223</v>
      </c>
      <c r="K10" s="62">
        <f>[9]STA_SP4_NO!$P$16</f>
        <v>5220.62</v>
      </c>
      <c r="L10" s="54">
        <f>[10]STA_SP4_NO!$P$16</f>
        <v>3506</v>
      </c>
      <c r="M10" s="409">
        <f>[11]STA_SP4_NO!$P$16</f>
        <v>0</v>
      </c>
      <c r="N10" s="403">
        <f t="shared" si="0"/>
        <v>83489.2</v>
      </c>
    </row>
    <row r="11" spans="1:14" x14ac:dyDescent="0.25">
      <c r="A11" s="32">
        <v>8</v>
      </c>
      <c r="B11" s="352" t="s">
        <v>19</v>
      </c>
      <c r="C11" s="370">
        <f>[1]STA_SP4_NO!$P$17</f>
        <v>157938.06</v>
      </c>
      <c r="D11" s="402">
        <f>[2]STA_SP4_NO!$P$17</f>
        <v>70134.19</v>
      </c>
      <c r="E11" s="370">
        <f>[3]STA_SP4_NO!$P$17</f>
        <v>35718</v>
      </c>
      <c r="F11" s="54">
        <f>[4]STA_SP4_NO!$P$17</f>
        <v>88562</v>
      </c>
      <c r="G11" s="62">
        <f>[5]STA_SP4_NO!$P$17</f>
        <v>458938</v>
      </c>
      <c r="H11" s="54">
        <f>[6]STA_SP4_NO!$P$17</f>
        <v>3417</v>
      </c>
      <c r="I11" s="62">
        <f>[7]STA_SP4_NO!$P$17</f>
        <v>44286</v>
      </c>
      <c r="J11" s="54">
        <f>[8]STA_SP4_NO!$P$17</f>
        <v>47382</v>
      </c>
      <c r="K11" s="62">
        <f>[9]STA_SP4_NO!$P$17</f>
        <v>53024.89</v>
      </c>
      <c r="L11" s="54">
        <f>[10]STA_SP4_NO!$P$17</f>
        <v>55130</v>
      </c>
      <c r="M11" s="405">
        <f>[11]STA_SP4_NO!$P$17</f>
        <v>100.1</v>
      </c>
      <c r="N11" s="403">
        <f t="shared" si="0"/>
        <v>1014630.24</v>
      </c>
    </row>
    <row r="12" spans="1:14" x14ac:dyDescent="0.25">
      <c r="A12" s="32">
        <v>9</v>
      </c>
      <c r="B12" s="352" t="s">
        <v>20</v>
      </c>
      <c r="C12" s="370">
        <f>[1]STA_SP4_NO!$P$20</f>
        <v>271019.82</v>
      </c>
      <c r="D12" s="402">
        <f>[2]STA_SP4_NO!$P$20</f>
        <v>163035.5</v>
      </c>
      <c r="E12" s="370">
        <f>[3]STA_SP4_NO!$P$20</f>
        <v>42651</v>
      </c>
      <c r="F12" s="54">
        <f>[4]STA_SP4_NO!$P$20</f>
        <v>154142</v>
      </c>
      <c r="G12" s="62">
        <f>[5]STA_SP4_NO!$P$20</f>
        <v>263303</v>
      </c>
      <c r="H12" s="54">
        <f>[6]STA_SP4_NO!$P$20</f>
        <v>1806</v>
      </c>
      <c r="I12" s="62">
        <f>[7]STA_SP4_NO!$P$20</f>
        <v>144733</v>
      </c>
      <c r="J12" s="54">
        <f>[8]STA_SP4_NO!$P$20</f>
        <v>25736</v>
      </c>
      <c r="K12" s="62">
        <f>[9]STA_SP4_NO!$P$20</f>
        <v>73721.62</v>
      </c>
      <c r="L12" s="54">
        <f>[10]STA_SP4_NO!$P$20</f>
        <v>76688</v>
      </c>
      <c r="M12" s="405">
        <f>[11]STA_SP4_NO!$P$20</f>
        <v>64.12</v>
      </c>
      <c r="N12" s="403">
        <f t="shared" si="0"/>
        <v>1216900.06</v>
      </c>
    </row>
    <row r="13" spans="1:14" x14ac:dyDescent="0.25">
      <c r="A13" s="32">
        <v>10</v>
      </c>
      <c r="B13" s="352" t="s">
        <v>21</v>
      </c>
      <c r="C13" s="370">
        <f>[1]STA_SP4_NO!$P$26</f>
        <v>669184.9</v>
      </c>
      <c r="D13" s="402">
        <f>[2]STA_SP4_NO!$P$26</f>
        <v>379500.74</v>
      </c>
      <c r="E13" s="370">
        <f>[3]STA_SP4_NO!$P$26</f>
        <v>329613</v>
      </c>
      <c r="F13" s="54">
        <f>[4]STA_SP4_NO!$P$26</f>
        <v>443026</v>
      </c>
      <c r="G13" s="62">
        <f>[5]STA_SP4_NO!$P$26</f>
        <v>379162</v>
      </c>
      <c r="H13" s="54">
        <f>[6]STA_SP4_NO!$P$26</f>
        <v>483121</v>
      </c>
      <c r="I13" s="62">
        <f>[7]STA_SP4_NO!$P$26</f>
        <v>861427</v>
      </c>
      <c r="J13" s="54">
        <f>[8]STA_SP4_NO!$P$26</f>
        <v>446746</v>
      </c>
      <c r="K13" s="62">
        <f>[9]STA_SP4_NO!$P$26</f>
        <v>308288.39</v>
      </c>
      <c r="L13" s="54">
        <f>[10]STA_SP4_NO!$P$26</f>
        <v>531615</v>
      </c>
      <c r="M13" s="405">
        <f>[11]STA_SP4_NO!$P$26</f>
        <v>30091.64</v>
      </c>
      <c r="N13" s="403">
        <f t="shared" si="0"/>
        <v>4861775.67</v>
      </c>
    </row>
    <row r="14" spans="1:14" x14ac:dyDescent="0.25">
      <c r="A14" s="32">
        <v>11</v>
      </c>
      <c r="B14" s="352" t="s">
        <v>22</v>
      </c>
      <c r="C14" s="370">
        <f>[1]STA_SP4_NO!$P$33</f>
        <v>37.659999999999997</v>
      </c>
      <c r="D14" s="402">
        <f>[2]STA_SP4_NO!$P$33</f>
        <v>396.18</v>
      </c>
      <c r="E14" s="370">
        <f>[3]STA_SP4_NO!$P$33</f>
        <v>0</v>
      </c>
      <c r="F14" s="54">
        <f>[4]STA_SP4_NO!$P$33</f>
        <v>0</v>
      </c>
      <c r="G14" s="62">
        <f>[5]STA_SP4_NO!$P$33</f>
        <v>6632</v>
      </c>
      <c r="H14" s="54">
        <f>[6]STA_SP4_NO!$P$33</f>
        <v>0</v>
      </c>
      <c r="I14" s="62">
        <f>[7]STA_SP4_NO!$P$33</f>
        <v>294</v>
      </c>
      <c r="J14" s="54">
        <f>[8]STA_SP4_NO!$P$33</f>
        <v>2088</v>
      </c>
      <c r="K14" s="62">
        <f>[9]STA_SP4_NO!$P$33</f>
        <v>0</v>
      </c>
      <c r="L14" s="54">
        <f>[10]STA_SP4_NO!$P$33</f>
        <v>1706</v>
      </c>
      <c r="M14" s="409">
        <f>[11]STA_SP4_NO!$P$33</f>
        <v>0</v>
      </c>
      <c r="N14" s="403">
        <f t="shared" si="0"/>
        <v>11153.84</v>
      </c>
    </row>
    <row r="15" spans="1:14" x14ac:dyDescent="0.25">
      <c r="A15" s="32">
        <v>12</v>
      </c>
      <c r="B15" s="352" t="s">
        <v>23</v>
      </c>
      <c r="C15" s="370">
        <f>[1]STA_SP4_NO!$P$34</f>
        <v>545.16999999999996</v>
      </c>
      <c r="D15" s="402">
        <f>[2]STA_SP4_NO!$P$34</f>
        <v>286.58</v>
      </c>
      <c r="E15" s="370">
        <f>[3]STA_SP4_NO!$P$34</f>
        <v>73</v>
      </c>
      <c r="F15" s="54">
        <f>[4]STA_SP4_NO!$P$34</f>
        <v>1092</v>
      </c>
      <c r="G15" s="62">
        <f>[5]STA_SP4_NO!$P$34</f>
        <v>723</v>
      </c>
      <c r="H15" s="54">
        <f>[6]STA_SP4_NO!$P$34</f>
        <v>0</v>
      </c>
      <c r="I15" s="62">
        <f>[7]STA_SP4_NO!$P$34</f>
        <v>531</v>
      </c>
      <c r="J15" s="54">
        <f>[8]STA_SP4_NO!$P$34</f>
        <v>517</v>
      </c>
      <c r="K15" s="62">
        <f>[9]STA_SP4_NO!$P$34</f>
        <v>407.49</v>
      </c>
      <c r="L15" s="54">
        <f>[10]STA_SP4_NO!$P$34</f>
        <v>173</v>
      </c>
      <c r="M15" s="409">
        <f>[11]STA_SP4_NO!$P$34</f>
        <v>0</v>
      </c>
      <c r="N15" s="403">
        <f t="shared" si="0"/>
        <v>4348.24</v>
      </c>
    </row>
    <row r="16" spans="1:14" x14ac:dyDescent="0.25">
      <c r="A16" s="32">
        <v>13</v>
      </c>
      <c r="B16" s="352" t="s">
        <v>68</v>
      </c>
      <c r="C16" s="370">
        <f>[1]STA_SP4_NO!$P$35</f>
        <v>41608.54</v>
      </c>
      <c r="D16" s="402">
        <f>[2]STA_SP4_NO!$P$35</f>
        <v>40095.68</v>
      </c>
      <c r="E16" s="370">
        <f>[3]STA_SP4_NO!$P$35</f>
        <v>7617</v>
      </c>
      <c r="F16" s="54">
        <f>[4]STA_SP4_NO!$P$35</f>
        <v>17609</v>
      </c>
      <c r="G16" s="62">
        <f>[5]STA_SP4_NO!$P$35</f>
        <v>140064</v>
      </c>
      <c r="H16" s="54">
        <f>[6]STA_SP4_NO!$P$35</f>
        <v>677</v>
      </c>
      <c r="I16" s="62">
        <f>[7]STA_SP4_NO!$P$35</f>
        <v>35972</v>
      </c>
      <c r="J16" s="54">
        <f>[8]STA_SP4_NO!$P$35</f>
        <v>19595</v>
      </c>
      <c r="K16" s="62">
        <f>[9]STA_SP4_NO!$P$35</f>
        <v>42036.19</v>
      </c>
      <c r="L16" s="54">
        <f>[10]STA_SP4_NO!$P$35</f>
        <v>15837</v>
      </c>
      <c r="M16" s="405">
        <f>[11]STA_SP4_NO!$P$35</f>
        <v>40.76</v>
      </c>
      <c r="N16" s="403">
        <f t="shared" si="0"/>
        <v>361152.17</v>
      </c>
    </row>
    <row r="17" spans="1:14" x14ac:dyDescent="0.25">
      <c r="A17" s="32">
        <v>14</v>
      </c>
      <c r="B17" s="352" t="s">
        <v>25</v>
      </c>
      <c r="C17" s="370">
        <f>[1]STA_SP4_NO!$P$36</f>
        <v>10335.9</v>
      </c>
      <c r="D17" s="402">
        <f>[2]STA_SP4_NO!$P$36</f>
        <v>37970.660000000003</v>
      </c>
      <c r="E17" s="370">
        <f>[3]STA_SP4_NO!$P$36</f>
        <v>333</v>
      </c>
      <c r="F17" s="54">
        <f>[4]STA_SP4_NO!$P$36</f>
        <v>9127</v>
      </c>
      <c r="G17" s="62">
        <f>[5]STA_SP4_NO!$P$36</f>
        <v>0</v>
      </c>
      <c r="H17" s="54">
        <f>[6]STA_SP4_NO!$P$36</f>
        <v>0</v>
      </c>
      <c r="I17" s="62">
        <f>[7]STA_SP4_NO!$P$36</f>
        <v>0</v>
      </c>
      <c r="J17" s="54">
        <f>[8]STA_SP4_NO!$P$36</f>
        <v>0</v>
      </c>
      <c r="K17" s="62">
        <f>[9]STA_SP4_NO!$P$36</f>
        <v>83216.259999999995</v>
      </c>
      <c r="L17" s="54">
        <f>[10]STA_SP4_NO!$P$36</f>
        <v>3701</v>
      </c>
      <c r="M17" s="409">
        <f>[11]STA_SP4_NO!$P$36</f>
        <v>0</v>
      </c>
      <c r="N17" s="403">
        <f t="shared" si="0"/>
        <v>144683.82</v>
      </c>
    </row>
    <row r="18" spans="1:14" x14ac:dyDescent="0.25">
      <c r="A18" s="32">
        <v>15</v>
      </c>
      <c r="B18" s="352" t="s">
        <v>26</v>
      </c>
      <c r="C18" s="370">
        <f>[1]STA_SP4_NO!$P$37</f>
        <v>0</v>
      </c>
      <c r="D18" s="402">
        <f>[2]STA_SP4_NO!$P$37</f>
        <v>0</v>
      </c>
      <c r="E18" s="370">
        <f>[3]STA_SP4_NO!$P$37</f>
        <v>280</v>
      </c>
      <c r="F18" s="54">
        <f>[4]STA_SP4_NO!$P$37</f>
        <v>0</v>
      </c>
      <c r="G18" s="62">
        <f>[5]STA_SP4_NO!$P$37</f>
        <v>236</v>
      </c>
      <c r="H18" s="54">
        <f>[6]STA_SP4_NO!$P$37</f>
        <v>0</v>
      </c>
      <c r="I18" s="62">
        <f>[7]STA_SP4_NO!$P$37</f>
        <v>0</v>
      </c>
      <c r="J18" s="54">
        <f>[8]STA_SP4_NO!$P$37</f>
        <v>0</v>
      </c>
      <c r="K18" s="62">
        <f>[9]STA_SP4_NO!$P$37</f>
        <v>142.6</v>
      </c>
      <c r="L18" s="54">
        <f>[10]STA_SP4_NO!$P$37</f>
        <v>0</v>
      </c>
      <c r="M18" s="409">
        <f>[11]STA_SP4_NO!$P$37</f>
        <v>0</v>
      </c>
      <c r="N18" s="403">
        <f t="shared" si="0"/>
        <v>658.6</v>
      </c>
    </row>
    <row r="19" spans="1:14" x14ac:dyDescent="0.25">
      <c r="A19" s="32">
        <v>16</v>
      </c>
      <c r="B19" s="352" t="s">
        <v>27</v>
      </c>
      <c r="C19" s="370">
        <f>[1]STA_SP4_NO!$P$38</f>
        <v>7054.14</v>
      </c>
      <c r="D19" s="402">
        <f>[2]STA_SP4_NO!$P$38</f>
        <v>48252.69</v>
      </c>
      <c r="E19" s="370">
        <f>[3]STA_SP4_NO!$P$38</f>
        <v>123</v>
      </c>
      <c r="F19" s="54">
        <f>[4]STA_SP4_NO!$P$38</f>
        <v>7325</v>
      </c>
      <c r="G19" s="62">
        <f>[5]STA_SP4_NO!$P$38</f>
        <v>428</v>
      </c>
      <c r="H19" s="54">
        <f>[6]STA_SP4_NO!$P$38</f>
        <v>0</v>
      </c>
      <c r="I19" s="62">
        <f>[7]STA_SP4_NO!$P$38</f>
        <v>8930</v>
      </c>
      <c r="J19" s="54">
        <f>[8]STA_SP4_NO!$P$38</f>
        <v>0</v>
      </c>
      <c r="K19" s="62">
        <f>[9]STA_SP4_NO!$P$38</f>
        <v>13146.14</v>
      </c>
      <c r="L19" s="54">
        <f>[10]STA_SP4_NO!$P$38</f>
        <v>574</v>
      </c>
      <c r="M19" s="409">
        <f>[11]STA_SP4_NO!$P$38</f>
        <v>0</v>
      </c>
      <c r="N19" s="403">
        <f t="shared" si="0"/>
        <v>85832.97</v>
      </c>
    </row>
    <row r="20" spans="1:14" x14ac:dyDescent="0.25">
      <c r="A20" s="32">
        <v>17</v>
      </c>
      <c r="B20" s="352" t="s">
        <v>28</v>
      </c>
      <c r="C20" s="370">
        <f>[1]STA_SP4_NO!$P$39</f>
        <v>0</v>
      </c>
      <c r="D20" s="402">
        <f>[2]STA_SP4_NO!$P$39</f>
        <v>0</v>
      </c>
      <c r="E20" s="370">
        <f>[3]STA_SP4_NO!$P$39</f>
        <v>0</v>
      </c>
      <c r="F20" s="54">
        <f>[4]STA_SP4_NO!$P$39</f>
        <v>0</v>
      </c>
      <c r="G20" s="62">
        <f>[5]STA_SP4_NO!$P$39</f>
        <v>0</v>
      </c>
      <c r="H20" s="54">
        <f>[6]STA_SP4_NO!$P$39</f>
        <v>0</v>
      </c>
      <c r="I20" s="62">
        <f>[7]STA_SP4_NO!$P$39</f>
        <v>0</v>
      </c>
      <c r="J20" s="54">
        <f>[8]STA_SP4_NO!$P$39</f>
        <v>0</v>
      </c>
      <c r="K20" s="62">
        <f>[9]STA_SP4_NO!$P$39</f>
        <v>0</v>
      </c>
      <c r="L20" s="54">
        <f>[10]STA_SP4_NO!$P$39</f>
        <v>1</v>
      </c>
      <c r="M20" s="409">
        <f>[11]STA_SP4_NO!$P$39</f>
        <v>0</v>
      </c>
      <c r="N20" s="403">
        <f t="shared" si="0"/>
        <v>1</v>
      </c>
    </row>
    <row r="21" spans="1:14" ht="15.75" thickBot="1" x14ac:dyDescent="0.3">
      <c r="A21" s="34">
        <v>18</v>
      </c>
      <c r="B21" s="353" t="s">
        <v>29</v>
      </c>
      <c r="C21" s="370">
        <f>[1]STA_SP4_NO!$P$40</f>
        <v>13884.55</v>
      </c>
      <c r="D21" s="402">
        <f>[2]STA_SP4_NO!$P$40</f>
        <v>42444.67</v>
      </c>
      <c r="E21" s="370">
        <f>[3]STA_SP4_NO!$P$40</f>
        <v>7268</v>
      </c>
      <c r="F21" s="54">
        <f>[4]STA_SP4_NO!$P$40</f>
        <v>39592</v>
      </c>
      <c r="G21" s="62">
        <f>[5]STA_SP4_NO!$P$40</f>
        <v>30278</v>
      </c>
      <c r="H21" s="54">
        <f>[6]STA_SP4_NO!$P$40</f>
        <v>5103</v>
      </c>
      <c r="I21" s="62">
        <f>[7]STA_SP4_NO!$P$40</f>
        <v>18719</v>
      </c>
      <c r="J21" s="54">
        <f>[8]STA_SP4_NO!$P$40</f>
        <v>14471</v>
      </c>
      <c r="K21" s="62">
        <f>[9]STA_SP4_NO!$P$40</f>
        <v>11159.81</v>
      </c>
      <c r="L21" s="54">
        <f>[10]STA_SP4_NO!$P$40</f>
        <v>16906</v>
      </c>
      <c r="M21" s="409">
        <f>[11]STA_SP4_NO!$P$40</f>
        <v>148.44</v>
      </c>
      <c r="N21" s="403">
        <f t="shared" si="0"/>
        <v>199974.47</v>
      </c>
    </row>
    <row r="22" spans="1:14" ht="15.75" thickBot="1" x14ac:dyDescent="0.3">
      <c r="A22" s="36"/>
      <c r="B22" s="366" t="s">
        <v>37</v>
      </c>
      <c r="C22" s="361">
        <f t="shared" ref="C22:D22" si="1">SUM(C4:C21)</f>
        <v>1608441.0199999998</v>
      </c>
      <c r="D22" s="363">
        <f t="shared" si="1"/>
        <v>1209395.5899999999</v>
      </c>
      <c r="E22" s="359">
        <f t="shared" ref="E22:M22" si="2">SUM(E4:E21)</f>
        <v>531772</v>
      </c>
      <c r="F22" s="362">
        <f t="shared" si="2"/>
        <v>1178350</v>
      </c>
      <c r="G22" s="350">
        <f t="shared" si="2"/>
        <v>1740213</v>
      </c>
      <c r="H22" s="362">
        <f t="shared" si="2"/>
        <v>542009</v>
      </c>
      <c r="I22" s="350">
        <f t="shared" si="2"/>
        <v>1385814</v>
      </c>
      <c r="J22" s="362">
        <f t="shared" si="2"/>
        <v>684962</v>
      </c>
      <c r="K22" s="350">
        <f t="shared" si="2"/>
        <v>860733.98</v>
      </c>
      <c r="L22" s="363">
        <f t="shared" si="2"/>
        <v>1112503</v>
      </c>
      <c r="M22" s="406">
        <f t="shared" si="2"/>
        <v>34352.800000000003</v>
      </c>
      <c r="N22" s="236">
        <f t="shared" si="0"/>
        <v>10888546.390000001</v>
      </c>
    </row>
    <row r="23" spans="1:14" ht="15.75" thickBot="1" x14ac:dyDescent="0.3">
      <c r="A23" s="43"/>
      <c r="B23" s="44"/>
      <c r="C23" s="59"/>
      <c r="D23" s="46"/>
      <c r="E23" s="59"/>
      <c r="F23" s="46"/>
      <c r="G23" s="46"/>
      <c r="H23" s="59"/>
      <c r="I23" s="46"/>
      <c r="J23" s="59"/>
      <c r="K23" s="46"/>
      <c r="L23" s="59"/>
      <c r="M23" s="348"/>
      <c r="N23" s="46"/>
    </row>
    <row r="24" spans="1:14" ht="15.75" thickBot="1" x14ac:dyDescent="0.3">
      <c r="A24" s="467" t="s">
        <v>53</v>
      </c>
      <c r="B24" s="468"/>
      <c r="C24" s="55">
        <f>C22/N22</f>
        <v>0.14771861756287191</v>
      </c>
      <c r="D24" s="56">
        <f>D22/N22</f>
        <v>0.11107043554598842</v>
      </c>
      <c r="E24" s="48">
        <f>E22/N22</f>
        <v>4.8837740222916932E-2</v>
      </c>
      <c r="F24" s="47">
        <f>F22/N22</f>
        <v>0.10821922025167585</v>
      </c>
      <c r="G24" s="70">
        <f>G22/N22</f>
        <v>0.15982050658278915</v>
      </c>
      <c r="H24" s="47">
        <f>H22/N22</f>
        <v>4.9777902447821591E-2</v>
      </c>
      <c r="I24" s="404">
        <f>I22/N22</f>
        <v>0.12727263588395291</v>
      </c>
      <c r="J24" s="47">
        <f>J22/N22</f>
        <v>6.2906652133940158E-2</v>
      </c>
      <c r="K24" s="404">
        <f>K22/N22</f>
        <v>7.9049484584140156E-2</v>
      </c>
      <c r="L24" s="47">
        <f>L22/N22</f>
        <v>0.10217185656863423</v>
      </c>
      <c r="M24" s="342">
        <f>M22/N22</f>
        <v>3.1549482152686131E-3</v>
      </c>
      <c r="N24" s="258">
        <f>SUM(C24:M24)</f>
        <v>1</v>
      </c>
    </row>
    <row r="25" spans="1:14" ht="15.75" thickBo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1"/>
    </row>
    <row r="26" spans="1:14" ht="15.75" thickBot="1" x14ac:dyDescent="0.3">
      <c r="A26" s="422" t="s">
        <v>0</v>
      </c>
      <c r="B26" s="424" t="s">
        <v>1</v>
      </c>
      <c r="C26" s="481" t="s">
        <v>90</v>
      </c>
      <c r="D26" s="482"/>
      <c r="E26" s="482"/>
      <c r="F26" s="482"/>
      <c r="G26" s="482"/>
      <c r="H26" s="483"/>
      <c r="I26" s="446" t="s">
        <v>3</v>
      </c>
      <c r="J26" s="1"/>
      <c r="K26" s="1"/>
      <c r="L26" s="1"/>
      <c r="M26" s="1"/>
      <c r="N26" s="1"/>
    </row>
    <row r="27" spans="1:14" ht="15.75" thickBot="1" x14ac:dyDescent="0.3">
      <c r="A27" s="423"/>
      <c r="B27" s="426"/>
      <c r="C27" s="189" t="s">
        <v>11</v>
      </c>
      <c r="D27" s="215" t="s">
        <v>32</v>
      </c>
      <c r="E27" s="191" t="s">
        <v>7</v>
      </c>
      <c r="F27" s="127" t="s">
        <v>9</v>
      </c>
      <c r="G27" s="168" t="s">
        <v>4</v>
      </c>
      <c r="H27" s="210" t="s">
        <v>95</v>
      </c>
      <c r="I27" s="552"/>
      <c r="J27" s="81"/>
      <c r="K27" s="436" t="s">
        <v>33</v>
      </c>
      <c r="L27" s="437"/>
      <c r="M27" s="232">
        <f>N22</f>
        <v>10888546.390000001</v>
      </c>
      <c r="N27" s="233">
        <f>M27/M29</f>
        <v>0.81856731555547313</v>
      </c>
    </row>
    <row r="28" spans="1:14" ht="15.75" thickBot="1" x14ac:dyDescent="0.3">
      <c r="A28" s="22">
        <v>19</v>
      </c>
      <c r="B28" s="128" t="s">
        <v>34</v>
      </c>
      <c r="C28" s="193">
        <f>[12]STA_SP1_ZO!$Q$51</f>
        <v>618377</v>
      </c>
      <c r="D28" s="200">
        <f>[13]STA_SP1_ZO!$Q$51</f>
        <v>429013</v>
      </c>
      <c r="E28" s="194">
        <f>[14]STA_SP1_ZO!$Q$51</f>
        <v>513753</v>
      </c>
      <c r="F28" s="50">
        <f>[15]STA_SP1_ZO!$Q$51</f>
        <v>282081</v>
      </c>
      <c r="G28" s="115">
        <f>[16]STA_SP1_ZO!$Q$51</f>
        <v>549241</v>
      </c>
      <c r="H28" s="50">
        <f>[17]STA_SP1_ZO!$Q$51</f>
        <v>20944.580000000002</v>
      </c>
      <c r="I28" s="244">
        <f>SUM(C28:H28)</f>
        <v>2413409.58</v>
      </c>
      <c r="J28" s="81"/>
      <c r="K28" s="436" t="s">
        <v>34</v>
      </c>
      <c r="L28" s="437"/>
      <c r="M28" s="255">
        <f>I28</f>
        <v>2413409.58</v>
      </c>
      <c r="N28" s="235">
        <f>M28/M29</f>
        <v>0.18143268444452684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36" t="s">
        <v>3</v>
      </c>
      <c r="L29" s="437"/>
      <c r="M29" s="236">
        <f>M27+M28</f>
        <v>13301955.970000001</v>
      </c>
      <c r="N29" s="237">
        <f>M29/M29</f>
        <v>1</v>
      </c>
    </row>
    <row r="30" spans="1:14" ht="15.75" thickBot="1" x14ac:dyDescent="0.3">
      <c r="A30" s="427" t="s">
        <v>53</v>
      </c>
      <c r="B30" s="428"/>
      <c r="C30" s="23">
        <f>C28/I28</f>
        <v>0.25622546836828253</v>
      </c>
      <c r="D30" s="82">
        <f>D28/I28</f>
        <v>0.17776220147431418</v>
      </c>
      <c r="E30" s="23">
        <f>E28/I28</f>
        <v>0.21287435181226055</v>
      </c>
      <c r="F30" s="82">
        <f>F28/I28</f>
        <v>0.11688069954541243</v>
      </c>
      <c r="G30" s="23">
        <f>G28/I28</f>
        <v>0.22757885961486901</v>
      </c>
      <c r="H30" s="82">
        <f>H28/I28</f>
        <v>8.6784191848612788E-3</v>
      </c>
      <c r="I30" s="231">
        <f>I28/I28</f>
        <v>1</v>
      </c>
      <c r="J30" s="1"/>
      <c r="K30" s="1"/>
      <c r="L30" s="1"/>
      <c r="M30" s="1"/>
      <c r="N30" s="1"/>
    </row>
  </sheetData>
  <mergeCells count="14">
    <mergeCell ref="N2:N3"/>
    <mergeCell ref="A30:B30"/>
    <mergeCell ref="K28:L28"/>
    <mergeCell ref="C1:I1"/>
    <mergeCell ref="A2:A3"/>
    <mergeCell ref="B2:B3"/>
    <mergeCell ref="A24:B24"/>
    <mergeCell ref="A26:A27"/>
    <mergeCell ref="B26:B27"/>
    <mergeCell ref="K27:L27"/>
    <mergeCell ref="K29:L29"/>
    <mergeCell ref="I26:I27"/>
    <mergeCell ref="C26:H26"/>
    <mergeCell ref="C2:M2"/>
  </mergeCells>
  <pageMargins left="0.25" right="0.25" top="0.75" bottom="0.75" header="0.3" footer="0.3"/>
  <pageSetup paperSize="9" scale="9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workbookViewId="0">
      <selection activeCell="I23" sqref="I23"/>
    </sheetView>
  </sheetViews>
  <sheetFormatPr defaultRowHeight="15" x14ac:dyDescent="0.25"/>
  <cols>
    <col min="1" max="1" width="4.7109375" customWidth="1"/>
    <col min="2" max="2" width="20.28515625" customWidth="1"/>
    <col min="8" max="8" width="11.42578125" customWidth="1"/>
    <col min="14" max="14" width="11.7109375" customWidth="1"/>
  </cols>
  <sheetData>
    <row r="1" spans="1:15" x14ac:dyDescent="0.25">
      <c r="A1" s="11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A2" s="554" t="s">
        <v>117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6"/>
      <c r="M2" s="1"/>
      <c r="N2" s="1"/>
    </row>
    <row r="3" spans="1:15" ht="15.75" thickBot="1" x14ac:dyDescent="0.3">
      <c r="A3" s="26"/>
      <c r="B3" s="496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26"/>
      <c r="N3" s="155" t="s">
        <v>91</v>
      </c>
    </row>
    <row r="4" spans="1:15" ht="15.75" thickBot="1" x14ac:dyDescent="0.3">
      <c r="A4" s="458" t="s">
        <v>0</v>
      </c>
      <c r="B4" s="563" t="s">
        <v>89</v>
      </c>
      <c r="C4" s="377" t="s">
        <v>2</v>
      </c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577" t="s">
        <v>3</v>
      </c>
    </row>
    <row r="5" spans="1:15" ht="15.75" thickBot="1" x14ac:dyDescent="0.3">
      <c r="A5" s="459"/>
      <c r="B5" s="562"/>
      <c r="C5" s="264" t="s">
        <v>69</v>
      </c>
      <c r="D5" s="171" t="s">
        <v>4</v>
      </c>
      <c r="E5" s="170" t="s">
        <v>5</v>
      </c>
      <c r="F5" s="411" t="s">
        <v>6</v>
      </c>
      <c r="G5" s="171" t="s">
        <v>8</v>
      </c>
      <c r="H5" s="228" t="s">
        <v>94</v>
      </c>
      <c r="I5" s="171" t="s">
        <v>9</v>
      </c>
      <c r="J5" s="265" t="s">
        <v>10</v>
      </c>
      <c r="K5" s="171" t="s">
        <v>93</v>
      </c>
      <c r="L5" s="169" t="s">
        <v>11</v>
      </c>
      <c r="M5" s="266" t="s">
        <v>96</v>
      </c>
      <c r="N5" s="578"/>
    </row>
    <row r="6" spans="1:15" ht="37.5" customHeight="1" x14ac:dyDescent="0.25">
      <c r="A6" s="30">
        <v>1</v>
      </c>
      <c r="B6" s="60" t="s">
        <v>59</v>
      </c>
      <c r="C6" s="67">
        <f>[1]STA_SP5_NO!$E$41</f>
        <v>932681.02</v>
      </c>
      <c r="D6" s="68">
        <f>[2]STA_SP5_NO!$E$41</f>
        <v>940546.05</v>
      </c>
      <c r="E6" s="61">
        <f>[3]STA_SP5_NO!$E$41</f>
        <v>199463</v>
      </c>
      <c r="F6" s="118">
        <f>[4]STA_SP5_NO!$E$41</f>
        <v>320916.34999999998</v>
      </c>
      <c r="G6" s="68">
        <f>[5]STA_SP5_NO!$E$41</f>
        <v>365120</v>
      </c>
      <c r="H6" s="117">
        <f>[6]STA_SP5_NO!$E$41</f>
        <v>213807.4</v>
      </c>
      <c r="I6" s="68">
        <f>[7]STA_SP5_NO!$E$41</f>
        <v>204984</v>
      </c>
      <c r="J6" s="74">
        <f>[8]STA_SP5_NO!$E$41</f>
        <v>215256</v>
      </c>
      <c r="K6" s="68">
        <f>[9]STA_SP5_NO!$E$41</f>
        <v>236579.78</v>
      </c>
      <c r="L6" s="262">
        <f>[10]STA_SP5_NO!$E$41</f>
        <v>339850</v>
      </c>
      <c r="M6" s="260">
        <f>[11]STA_SP5_NO!$E$41</f>
        <v>9898.19</v>
      </c>
      <c r="N6" s="267">
        <f>SUM(C6:M6)</f>
        <v>3979101.7899999996</v>
      </c>
    </row>
    <row r="7" spans="1:15" ht="37.5" customHeight="1" thickBot="1" x14ac:dyDescent="0.3">
      <c r="A7" s="83">
        <v>2</v>
      </c>
      <c r="B7" s="84" t="s">
        <v>60</v>
      </c>
      <c r="C7" s="85">
        <f>[1]STA_SP5_NO!$G$41</f>
        <v>382646.14</v>
      </c>
      <c r="D7" s="86">
        <f>[2]STA_SP5_NO!$G$41</f>
        <v>279340.12</v>
      </c>
      <c r="E7" s="87">
        <f>[3]STA_SP5_NO!$G$41</f>
        <v>273309</v>
      </c>
      <c r="F7" s="412">
        <f>[4]STA_SP5_NO!$G$41</f>
        <v>250721.04</v>
      </c>
      <c r="G7" s="86">
        <f>[5]STA_SP5_NO!$G$41</f>
        <v>317799</v>
      </c>
      <c r="H7" s="410">
        <f>[6]STA_SP5_NO!$G$41</f>
        <v>159513.56</v>
      </c>
      <c r="I7" s="86">
        <f>[7]STA_SP5_NO!$G$41</f>
        <v>346189</v>
      </c>
      <c r="J7" s="87">
        <f>[8]STA_SP5_NO!$G$41</f>
        <v>312014.58</v>
      </c>
      <c r="K7" s="68">
        <f>[9]STA_SP5_NO!$G$41</f>
        <v>247912.11</v>
      </c>
      <c r="L7" s="263">
        <f>[10]STA_SP5_NO!$G$41</f>
        <v>430592</v>
      </c>
      <c r="M7" s="186">
        <f>[11]STA_SP5_NO!$G$41</f>
        <v>31344.37</v>
      </c>
      <c r="N7" s="268">
        <f>SUM(C7:M7)</f>
        <v>3031380.92</v>
      </c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458" t="s">
        <v>0</v>
      </c>
      <c r="B10" s="561" t="s">
        <v>89</v>
      </c>
      <c r="C10" s="566" t="s">
        <v>90</v>
      </c>
      <c r="D10" s="566"/>
      <c r="E10" s="566"/>
      <c r="F10" s="566"/>
      <c r="G10" s="566"/>
      <c r="H10" s="566"/>
      <c r="I10" s="564" t="s">
        <v>3</v>
      </c>
      <c r="K10" s="569" t="s">
        <v>81</v>
      </c>
      <c r="L10" s="570"/>
      <c r="M10" s="573" t="s">
        <v>2</v>
      </c>
      <c r="N10" s="575" t="s">
        <v>90</v>
      </c>
      <c r="O10" s="567" t="s">
        <v>3</v>
      </c>
    </row>
    <row r="11" spans="1:15" ht="15.75" thickBot="1" x14ac:dyDescent="0.3">
      <c r="A11" s="459"/>
      <c r="B11" s="562"/>
      <c r="C11" s="169" t="s">
        <v>11</v>
      </c>
      <c r="D11" s="195" t="s">
        <v>32</v>
      </c>
      <c r="E11" s="170" t="s">
        <v>7</v>
      </c>
      <c r="F11" s="171" t="s">
        <v>9</v>
      </c>
      <c r="G11" s="170" t="s">
        <v>4</v>
      </c>
      <c r="H11" s="216" t="s">
        <v>95</v>
      </c>
      <c r="I11" s="565"/>
      <c r="K11" s="571"/>
      <c r="L11" s="572"/>
      <c r="M11" s="574"/>
      <c r="N11" s="576"/>
      <c r="O11" s="568"/>
    </row>
    <row r="12" spans="1:15" ht="37.5" customHeight="1" thickBot="1" x14ac:dyDescent="0.3">
      <c r="A12" s="96">
        <v>1</v>
      </c>
      <c r="B12" s="60" t="s">
        <v>59</v>
      </c>
      <c r="C12" s="97">
        <f>[12]STA_SP4_ZO!$G$51</f>
        <v>18160</v>
      </c>
      <c r="D12" s="201">
        <f>[13]STA_SP4_ZO!$G$51</f>
        <v>48147</v>
      </c>
      <c r="E12" s="99">
        <f>[14]STA_SP4_ZO!$G$51</f>
        <v>6067.72</v>
      </c>
      <c r="F12" s="98">
        <f>[15]STA_SP4_ZO!$G$51</f>
        <v>7339</v>
      </c>
      <c r="G12" s="100">
        <f>[16]STA_SP4_ZO!$G$51</f>
        <v>2314.36</v>
      </c>
      <c r="H12" s="172">
        <f>[17]STA_SP4_ZO!$G$51</f>
        <v>0</v>
      </c>
      <c r="I12" s="271">
        <f>SUM(C12:H12)</f>
        <v>82028.08</v>
      </c>
      <c r="K12" s="557" t="s">
        <v>59</v>
      </c>
      <c r="L12" s="558"/>
      <c r="M12" s="105">
        <f>N6</f>
        <v>3979101.7899999996</v>
      </c>
      <c r="N12" s="114">
        <f>I12</f>
        <v>82028.08</v>
      </c>
      <c r="O12" s="269">
        <f>SUM(M12:N12)</f>
        <v>4061129.8699999996</v>
      </c>
    </row>
    <row r="13" spans="1:15" ht="37.5" customHeight="1" thickBot="1" x14ac:dyDescent="0.3">
      <c r="A13" s="83">
        <v>2</v>
      </c>
      <c r="B13" s="84" t="s">
        <v>60</v>
      </c>
      <c r="C13" s="101">
        <f>[12]STA_SP4_ZO!$H$51</f>
        <v>6411</v>
      </c>
      <c r="D13" s="202">
        <f>[13]STA_SP4_ZO!$H$51</f>
        <v>10262</v>
      </c>
      <c r="E13" s="103">
        <f>[14]STA_SP4_ZO!$H$51</f>
        <v>12362.8</v>
      </c>
      <c r="F13" s="102">
        <f>[15]STA_SP4_ZO!$H$51</f>
        <v>1748</v>
      </c>
      <c r="G13" s="104">
        <f>[16]STA_SP4_ZO!$H$51</f>
        <v>1867.5</v>
      </c>
      <c r="H13" s="95">
        <f>[17]STA_SP4_ZO!$H$51</f>
        <v>473.3</v>
      </c>
      <c r="I13" s="272">
        <f>SUM(C13:H13)</f>
        <v>33124.6</v>
      </c>
      <c r="K13" s="559" t="s">
        <v>60</v>
      </c>
      <c r="L13" s="560"/>
      <c r="M13" s="106">
        <f>N7</f>
        <v>3031380.92</v>
      </c>
      <c r="N13" s="114">
        <f>I13</f>
        <v>33124.6</v>
      </c>
      <c r="O13" s="270">
        <f>SUM(M13:N13)</f>
        <v>3064505.52</v>
      </c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mergeCells count="15">
    <mergeCell ref="O10:O11"/>
    <mergeCell ref="K10:L11"/>
    <mergeCell ref="M10:M11"/>
    <mergeCell ref="N10:N11"/>
    <mergeCell ref="N4:N5"/>
    <mergeCell ref="A2:L2"/>
    <mergeCell ref="K12:L12"/>
    <mergeCell ref="K13:L13"/>
    <mergeCell ref="B10:B11"/>
    <mergeCell ref="A10:A11"/>
    <mergeCell ref="B3:L3"/>
    <mergeCell ref="A4:A5"/>
    <mergeCell ref="B4:B5"/>
    <mergeCell ref="I10:I11"/>
    <mergeCell ref="C10:H10"/>
  </mergeCells>
  <pageMargins left="0.25" right="0.25" top="0.75" bottom="0.75" header="0.3" footer="0.3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opLeftCell="A4" workbookViewId="0">
      <selection activeCell="H39" sqref="H39"/>
    </sheetView>
  </sheetViews>
  <sheetFormatPr defaultRowHeight="15" x14ac:dyDescent="0.25"/>
  <cols>
    <col min="1" max="1" width="25.7109375" customWidth="1"/>
    <col min="12" max="12" width="10.5703125" customWidth="1"/>
    <col min="13" max="13" width="10.28515625" customWidth="1"/>
    <col min="14" max="14" width="11.5703125" customWidth="1"/>
  </cols>
  <sheetData>
    <row r="1" spans="1:13" ht="11.25" customHeight="1" thickBot="1" x14ac:dyDescent="0.3">
      <c r="A1" s="119"/>
      <c r="B1" s="119"/>
      <c r="C1" s="158" t="s">
        <v>118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5.75" thickBot="1" x14ac:dyDescent="0.3">
      <c r="A2" s="77"/>
      <c r="B2" s="78" t="s">
        <v>69</v>
      </c>
      <c r="C2" s="64" t="s">
        <v>4</v>
      </c>
      <c r="D2" s="65" t="s">
        <v>5</v>
      </c>
      <c r="E2" s="64" t="s">
        <v>6</v>
      </c>
      <c r="F2" s="64" t="s">
        <v>8</v>
      </c>
      <c r="G2" s="21" t="s">
        <v>94</v>
      </c>
      <c r="H2" s="64" t="s">
        <v>9</v>
      </c>
      <c r="I2" s="65" t="s">
        <v>10</v>
      </c>
      <c r="J2" s="64" t="s">
        <v>93</v>
      </c>
      <c r="K2" s="63" t="s">
        <v>11</v>
      </c>
      <c r="L2" s="273" t="s">
        <v>96</v>
      </c>
      <c r="M2" s="64" t="s">
        <v>3</v>
      </c>
    </row>
    <row r="3" spans="1:13" x14ac:dyDescent="0.25">
      <c r="A3" s="123" t="s">
        <v>70</v>
      </c>
      <c r="B3" s="75"/>
      <c r="C3" s="75"/>
      <c r="D3" s="76"/>
      <c r="E3" s="75"/>
      <c r="F3" s="75"/>
      <c r="G3" s="75"/>
      <c r="H3" s="75"/>
      <c r="I3" s="76"/>
      <c r="J3" s="75"/>
      <c r="K3" s="274"/>
      <c r="L3" s="76"/>
      <c r="M3" s="75"/>
    </row>
    <row r="4" spans="1:13" x14ac:dyDescent="0.25">
      <c r="A4" s="124" t="s">
        <v>76</v>
      </c>
      <c r="B4" s="149">
        <f>[1]STA_SP7_NO!$C$9</f>
        <v>11734</v>
      </c>
      <c r="C4" s="149">
        <f>[2]STA_SP7_NO!$C$9</f>
        <v>167495</v>
      </c>
      <c r="D4" s="150">
        <f>[3]STA_SP7_NO!$C$9</f>
        <v>13391</v>
      </c>
      <c r="E4" s="149">
        <f>[4]STA_SP7_NO!$C$9</f>
        <v>100235</v>
      </c>
      <c r="F4" s="149">
        <f>[5]STA_SP7_NO!$C$9</f>
        <v>164256</v>
      </c>
      <c r="G4" s="149">
        <f>[6]STA_SP7_NO!$C$9</f>
        <v>389</v>
      </c>
      <c r="H4" s="149">
        <f>[7]STA_SP7_NO!$C$9</f>
        <v>22562</v>
      </c>
      <c r="I4" s="149">
        <f>[8]STA_SP7_NO!$C$9</f>
        <v>107057</v>
      </c>
      <c r="J4" s="149">
        <f>[9]STA_SP7_NO!$C$9</f>
        <v>7098</v>
      </c>
      <c r="K4" s="149">
        <f>[10]STA_SP7_NO!$C$9</f>
        <v>100670</v>
      </c>
      <c r="L4" s="290">
        <f>[11]STA_SP7_NO!$C$9</f>
        <v>1336</v>
      </c>
      <c r="M4" s="149">
        <f>SUM(B4:L4)</f>
        <v>696223</v>
      </c>
    </row>
    <row r="5" spans="1:13" x14ac:dyDescent="0.25">
      <c r="A5" s="124" t="s">
        <v>77</v>
      </c>
      <c r="B5" s="149">
        <f>[1]STA_SP7_NO!$D$9</f>
        <v>307419.18</v>
      </c>
      <c r="C5" s="149">
        <f>[2]STA_SP7_NO!$D$9</f>
        <v>1251834.93</v>
      </c>
      <c r="D5" s="150">
        <f>[3]STA_SP7_NO!$D$9</f>
        <v>131209</v>
      </c>
      <c r="E5" s="149">
        <f>[4]STA_SP7_NO!$D$9</f>
        <v>800131.53</v>
      </c>
      <c r="F5" s="149">
        <f>[5]STA_SP7_NO!$D$9</f>
        <v>1731609.68</v>
      </c>
      <c r="G5" s="149">
        <f>[6]STA_SP7_NO!$D$9</f>
        <v>2140</v>
      </c>
      <c r="H5" s="149">
        <f>[7]STA_SP7_NO!$D$9</f>
        <v>221301</v>
      </c>
      <c r="I5" s="149">
        <f>[8]STA_SP7_NO!$D$9</f>
        <v>628292</v>
      </c>
      <c r="J5" s="149">
        <f>[9]STA_SP7_NO!$D$9</f>
        <v>63100.28</v>
      </c>
      <c r="K5" s="149">
        <f>[10]STA_SP7_NO!$D$9</f>
        <v>802725</v>
      </c>
      <c r="L5" s="291">
        <f>[11]STA_SP7_NO!$D$9</f>
        <v>4832.84</v>
      </c>
      <c r="M5" s="149">
        <f>SUM(B5:L5)</f>
        <v>5944595.4399999995</v>
      </c>
    </row>
    <row r="6" spans="1:13" x14ac:dyDescent="0.25">
      <c r="A6" s="124" t="s">
        <v>58</v>
      </c>
      <c r="B6" s="149">
        <f>[1]STA_SP7_NO!$E$9</f>
        <v>0</v>
      </c>
      <c r="C6" s="149">
        <f>[2]STA_SP7_NO!$E$9</f>
        <v>0</v>
      </c>
      <c r="D6" s="150">
        <f>[3]STA_SP7_NO!$E$9</f>
        <v>0</v>
      </c>
      <c r="E6" s="149">
        <f>[4]STA_SP7_NO!$E$9</f>
        <v>0</v>
      </c>
      <c r="F6" s="149">
        <f>[5]STA_SP7_NO!$E$9</f>
        <v>0</v>
      </c>
      <c r="G6" s="149">
        <f>[6]STA_SP7_NO!$F$9</f>
        <v>0</v>
      </c>
      <c r="H6" s="149">
        <f>[7]STA_SP7_NO!$E$9</f>
        <v>0</v>
      </c>
      <c r="I6" s="149">
        <f>[8]STA_SP7_NO!$E$9</f>
        <v>0</v>
      </c>
      <c r="J6" s="149">
        <f>[9]STA_SP7_NO!$E$9</f>
        <v>0</v>
      </c>
      <c r="K6" s="149">
        <f>[10]STA_SP7_NO!$E$9</f>
        <v>0</v>
      </c>
      <c r="L6" s="290">
        <f>[11]STA_SP7_NO!$E$9</f>
        <v>0</v>
      </c>
      <c r="M6" s="149">
        <f>SUM(B6:L6)</f>
        <v>0</v>
      </c>
    </row>
    <row r="7" spans="1:13" x14ac:dyDescent="0.25">
      <c r="A7" s="123" t="s">
        <v>71</v>
      </c>
      <c r="B7" s="75"/>
      <c r="C7" s="75"/>
      <c r="D7" s="76"/>
      <c r="E7" s="75"/>
      <c r="F7" s="75"/>
      <c r="G7" s="75"/>
      <c r="H7" s="75"/>
      <c r="I7" s="76"/>
      <c r="J7" s="75"/>
      <c r="K7" s="75"/>
      <c r="L7" s="76"/>
      <c r="M7" s="75"/>
    </row>
    <row r="8" spans="1:13" x14ac:dyDescent="0.25">
      <c r="A8" s="124" t="s">
        <v>76</v>
      </c>
      <c r="B8" s="149">
        <f>[1]STA_SP7_NO!$C$18</f>
        <v>26687</v>
      </c>
      <c r="C8" s="149">
        <f>[2]STA_SP7_NO!$C$18</f>
        <v>76139</v>
      </c>
      <c r="D8" s="150">
        <f>[3]STA_SP7_NO!$C$18</f>
        <v>16029</v>
      </c>
      <c r="E8" s="149">
        <f>[4]STA_SP7_NO!$C$18</f>
        <v>36013</v>
      </c>
      <c r="F8" s="149">
        <f>[5]STA_SP7_NO!$C$18</f>
        <v>30545</v>
      </c>
      <c r="G8" s="149">
        <f>[6]STA_SP7_NO!$C$18</f>
        <v>84807</v>
      </c>
      <c r="H8" s="149">
        <f>[7]STA_SP7_NO!$C$18</f>
        <v>112039</v>
      </c>
      <c r="I8" s="149">
        <f>[8]STA_SP7_NO!$C$18</f>
        <v>35600</v>
      </c>
      <c r="J8" s="149">
        <f>[9]STA_SP7_NO!$C$18</f>
        <v>14281</v>
      </c>
      <c r="K8" s="149">
        <f>[10]STA_SP7_NO!$C$18</f>
        <v>73492</v>
      </c>
      <c r="L8" s="291">
        <f>[11]STA_SP7_NO!$C$18</f>
        <v>6045</v>
      </c>
      <c r="M8" s="149">
        <f>SUM(B8:L8)</f>
        <v>511677</v>
      </c>
    </row>
    <row r="9" spans="1:13" x14ac:dyDescent="0.25">
      <c r="A9" s="124" t="s">
        <v>77</v>
      </c>
      <c r="B9" s="149">
        <f>[1]STA_SP7_NO!$D$18</f>
        <v>499788.98</v>
      </c>
      <c r="C9" s="149">
        <f>[2]STA_SP7_NO!$D18</f>
        <v>366405.59</v>
      </c>
      <c r="D9" s="150">
        <f>[3]STA_SP7_NO!$D$18</f>
        <v>144900</v>
      </c>
      <c r="E9" s="149">
        <f>[4]STA_SP7_NO!$D$18</f>
        <v>277765.65000000002</v>
      </c>
      <c r="F9" s="149">
        <f>[5]STA_SP7_NO!$D$18</f>
        <v>324679.7</v>
      </c>
      <c r="G9" s="149">
        <f>[6]STA_SP7_NO!$D$18</f>
        <v>444532</v>
      </c>
      <c r="H9" s="149">
        <f>[7]STA_SP7_NO!$D$18</f>
        <v>949560</v>
      </c>
      <c r="I9" s="149">
        <f>[8]STA_SP7_NO!$D$18</f>
        <v>234217</v>
      </c>
      <c r="J9" s="149">
        <f>[9]STA_SP7_NO!$D$18</f>
        <v>164759.93</v>
      </c>
      <c r="K9" s="149">
        <f>[10]STA_SP7_NO!$D$18</f>
        <v>526489</v>
      </c>
      <c r="L9" s="291">
        <f>[11]STA_SP7_NO!$D$18</f>
        <v>37165.089999999997</v>
      </c>
      <c r="M9" s="149">
        <f>SUM(B9:L9)</f>
        <v>3970262.94</v>
      </c>
    </row>
    <row r="10" spans="1:13" x14ac:dyDescent="0.25">
      <c r="A10" s="124" t="s">
        <v>58</v>
      </c>
      <c r="B10" s="149">
        <f>[1]STA_SP7_NO!$E$18</f>
        <v>102114.03</v>
      </c>
      <c r="C10" s="149">
        <f>[2]STA_SP7_NO!$E$18</f>
        <v>87350.8</v>
      </c>
      <c r="D10" s="150">
        <f>[3]STA_SP7_NO!$E$18</f>
        <v>50847</v>
      </c>
      <c r="E10" s="149">
        <f>[4]STA_SP7_NO!$E$18</f>
        <v>55087.73</v>
      </c>
      <c r="F10" s="149">
        <f>[5]STA_SP7_NO!$E$18</f>
        <v>76906.59</v>
      </c>
      <c r="G10" s="149">
        <f>[6]STA_SP7_NO!$E$18</f>
        <v>144559</v>
      </c>
      <c r="H10" s="149">
        <f>[7]STA_SP7_NO!$E$18</f>
        <v>266887</v>
      </c>
      <c r="I10" s="149">
        <f>[8]STA_SP7_NO!$E$18</f>
        <v>62164.5</v>
      </c>
      <c r="J10" s="149">
        <f>[9]STA_SP7_NO!$E$18</f>
        <v>38551.800000000003</v>
      </c>
      <c r="K10" s="149">
        <f>[10]STA_SP7_NO!$E$18</f>
        <v>151231</v>
      </c>
      <c r="L10" s="291">
        <f>[11]STA_SP7_NO!$E$18</f>
        <v>14446.21</v>
      </c>
      <c r="M10" s="149">
        <f>SUM(B10:L10)</f>
        <v>1050145.6600000001</v>
      </c>
    </row>
    <row r="11" spans="1:13" x14ac:dyDescent="0.25">
      <c r="A11" s="123" t="s">
        <v>72</v>
      </c>
      <c r="B11" s="75"/>
      <c r="C11" s="75"/>
      <c r="D11" s="76"/>
      <c r="E11" s="75"/>
      <c r="F11" s="75"/>
      <c r="G11" s="75"/>
      <c r="H11" s="75"/>
      <c r="I11" s="76"/>
      <c r="J11" s="75"/>
      <c r="K11" s="75"/>
      <c r="L11" s="76"/>
      <c r="M11" s="75"/>
    </row>
    <row r="12" spans="1:13" x14ac:dyDescent="0.25">
      <c r="A12" s="124" t="s">
        <v>76</v>
      </c>
      <c r="B12" s="149">
        <f>[1]STA_SP7_NO!$C$19</f>
        <v>66313</v>
      </c>
      <c r="C12" s="149">
        <f>[2]STA_SP7_NO!$C$19</f>
        <v>39</v>
      </c>
      <c r="D12" s="150">
        <f>[3]STA_SP7_NO!$C$19</f>
        <v>17736</v>
      </c>
      <c r="E12" s="149">
        <f>[4]STA_SP7_NO!$C$19</f>
        <v>4529</v>
      </c>
      <c r="F12" s="149">
        <f>[5]STA_SP7_NO!$C$19</f>
        <v>0</v>
      </c>
      <c r="G12" s="149">
        <f>[6]STA_SP7_NO!$C$19</f>
        <v>1643</v>
      </c>
      <c r="H12" s="149">
        <f>[7]STA_SP7_NO!$C$19</f>
        <v>20142</v>
      </c>
      <c r="I12" s="149">
        <f>[8]STA_SP7_NO!$C$19</f>
        <v>4506</v>
      </c>
      <c r="J12" s="149">
        <f>[9]STA_SP7_NO!$C$19</f>
        <v>0</v>
      </c>
      <c r="K12" s="149">
        <f>[10]STA_SP7_NO!$C$19</f>
        <v>0</v>
      </c>
      <c r="L12" s="291">
        <f>[11]STA_SP7_NO!$C$19</f>
        <v>0</v>
      </c>
      <c r="M12" s="149">
        <f>SUM(B12:L12)</f>
        <v>114908</v>
      </c>
    </row>
    <row r="13" spans="1:13" x14ac:dyDescent="0.25">
      <c r="A13" s="124" t="s">
        <v>77</v>
      </c>
      <c r="B13" s="149">
        <f>[1]STA_SP7_NO!$D$19</f>
        <v>654524.11</v>
      </c>
      <c r="C13" s="149">
        <f>[2]STA_SP7_NO!$D$19</f>
        <v>541.32000000000005</v>
      </c>
      <c r="D13" s="150">
        <f>[3]STA_SP7_NO!$D$19</f>
        <v>93040</v>
      </c>
      <c r="E13" s="149">
        <f>[4]STA_SP7_NO!$D$19</f>
        <v>19332.23</v>
      </c>
      <c r="F13" s="149">
        <f>[5]STA_SP7_NO!$D$19</f>
        <v>0</v>
      </c>
      <c r="G13" s="149">
        <f>[6]STA_SP7_NO!$D$19</f>
        <v>9367</v>
      </c>
      <c r="H13" s="149">
        <f>[7]STA_SP7_NO!$D$19</f>
        <v>104553</v>
      </c>
      <c r="I13" s="149">
        <f>[8]STA_SP7_NO!$D$19</f>
        <v>23208</v>
      </c>
      <c r="J13" s="149">
        <f>[9]STA_SP7_NO!$D$19</f>
        <v>0</v>
      </c>
      <c r="K13" s="149">
        <f>[10]STA_SP7_NO!$D$19</f>
        <v>0</v>
      </c>
      <c r="L13" s="291">
        <f>[11]STA_SP7_NO!$D$19</f>
        <v>0</v>
      </c>
      <c r="M13" s="149">
        <f>SUM(B13:L13)</f>
        <v>904565.65999999992</v>
      </c>
    </row>
    <row r="14" spans="1:13" x14ac:dyDescent="0.25">
      <c r="A14" s="124" t="s">
        <v>58</v>
      </c>
      <c r="B14" s="149">
        <f>[1]STA_SP7_NO!$E$19</f>
        <v>150612.01</v>
      </c>
      <c r="C14" s="149">
        <f>[2]STA_SP7_NO!$E$19</f>
        <v>172.6</v>
      </c>
      <c r="D14" s="150">
        <f>[3]STA_SP7_NO!$E$19</f>
        <v>27819</v>
      </c>
      <c r="E14" s="149">
        <f>[4]STA_SP7_NO!$E$19</f>
        <v>4392.5600000000004</v>
      </c>
      <c r="F14" s="149">
        <f>[5]STA_SP7_NO!$E$19</f>
        <v>0</v>
      </c>
      <c r="G14" s="149">
        <f>[6]STA_SP7_NO!$E$19</f>
        <v>3278</v>
      </c>
      <c r="H14" s="149">
        <f>[7]STA_SP7_NO!$E$19</f>
        <v>31737</v>
      </c>
      <c r="I14" s="149">
        <f>[8]STA_SP7_NO!$E$19</f>
        <v>7946.44</v>
      </c>
      <c r="J14" s="149">
        <f>[9]STA_SP7_NO!$E$19</f>
        <v>0</v>
      </c>
      <c r="K14" s="149">
        <f>[10]STA_SP7_NO!$E$19</f>
        <v>0</v>
      </c>
      <c r="L14" s="291">
        <f>[11]STA_SP7_NO!$E$19</f>
        <v>0</v>
      </c>
      <c r="M14" s="149">
        <f>SUM(B14:L14)</f>
        <v>225957.61000000002</v>
      </c>
    </row>
    <row r="15" spans="1:13" x14ac:dyDescent="0.25">
      <c r="A15" s="123" t="s">
        <v>73</v>
      </c>
      <c r="B15" s="75"/>
      <c r="C15" s="75"/>
      <c r="D15" s="76"/>
      <c r="E15" s="75"/>
      <c r="F15" s="75"/>
      <c r="G15" s="75"/>
      <c r="H15" s="75"/>
      <c r="I15" s="76"/>
      <c r="J15" s="75"/>
      <c r="K15" s="75"/>
      <c r="L15" s="76"/>
      <c r="M15" s="75"/>
    </row>
    <row r="16" spans="1:13" x14ac:dyDescent="0.25">
      <c r="A16" s="124" t="s">
        <v>76</v>
      </c>
      <c r="B16" s="149">
        <f>[1]STA_SP7_NO!$C$20</f>
        <v>2039</v>
      </c>
      <c r="C16" s="149">
        <f>[2]STA_SP7_NO!$C$20</f>
        <v>4691</v>
      </c>
      <c r="D16" s="150">
        <f>[3]STA_SP7_NO!$C$20</f>
        <v>2</v>
      </c>
      <c r="E16" s="149">
        <f>[4]STA_SP7_NO!$C$20</f>
        <v>5221</v>
      </c>
      <c r="F16" s="149">
        <f>[5]STA_SP7_NO!$C$20</f>
        <v>25090</v>
      </c>
      <c r="G16" s="149">
        <f>[6]STA_SP7_NO!$C$20</f>
        <v>496</v>
      </c>
      <c r="H16" s="149">
        <f>[7]STA_SP7_NO!$C$20</f>
        <v>2849</v>
      </c>
      <c r="I16" s="149">
        <f>[8]STA_SP7_NO!$C$20</f>
        <v>1580</v>
      </c>
      <c r="J16" s="149">
        <f>[9]STA_SP7_NO!$C$20</f>
        <v>148</v>
      </c>
      <c r="K16" s="149">
        <f>[10]STA_SP7_NO!$C$20</f>
        <v>402</v>
      </c>
      <c r="L16" s="291">
        <f>[11]STA_SP7_NO!$C$20</f>
        <v>0</v>
      </c>
      <c r="M16" s="149">
        <f>SUM(B16:L16)</f>
        <v>42518</v>
      </c>
    </row>
    <row r="17" spans="1:13" x14ac:dyDescent="0.25">
      <c r="A17" s="124" t="s">
        <v>77</v>
      </c>
      <c r="B17" s="149">
        <f>[1]STA_SP7_NO!$D$20</f>
        <v>708.51</v>
      </c>
      <c r="C17" s="149">
        <f>[2]STA_SP7_NO!$D$20</f>
        <v>3157.89</v>
      </c>
      <c r="D17" s="150">
        <f>[3]STA_SP7_NO!$D$20</f>
        <v>2</v>
      </c>
      <c r="E17" s="149">
        <f>[4]STA_SP7_NO!$D$20</f>
        <v>3265</v>
      </c>
      <c r="F17" s="149">
        <f>[5]STA_SP7_NO!$D$20</f>
        <v>12204.71</v>
      </c>
      <c r="G17" s="149">
        <f>[6]STA_SP7_NO!$D$20</f>
        <v>223</v>
      </c>
      <c r="H17" s="149">
        <f>[7]STA_SP7_NO!$D$20</f>
        <v>1379</v>
      </c>
      <c r="I17" s="149">
        <f>[8]STA_SP7_NO!$D$20</f>
        <v>1092</v>
      </c>
      <c r="J17" s="149">
        <f>[9]STA_SP7_NO!$D$20</f>
        <v>46.29</v>
      </c>
      <c r="K17" s="149">
        <f>[10]STA_SP7_NO!$D$20</f>
        <v>809</v>
      </c>
      <c r="L17" s="291">
        <f>[11]STA_SP7_NO!$D$20</f>
        <v>0</v>
      </c>
      <c r="M17" s="149">
        <f>SUM(B17:L17)</f>
        <v>22887.4</v>
      </c>
    </row>
    <row r="18" spans="1:13" x14ac:dyDescent="0.25">
      <c r="A18" s="124" t="s">
        <v>58</v>
      </c>
      <c r="B18" s="149">
        <f>[1]STA_SP7_NO!$E$20</f>
        <v>210</v>
      </c>
      <c r="C18" s="149">
        <f>[2]STA_SP7_NO!$E$20</f>
        <v>651.19000000000005</v>
      </c>
      <c r="D18" s="150">
        <f>[3]STA_SP7_NO!$E$20</f>
        <v>1</v>
      </c>
      <c r="E18" s="149">
        <f>[4]STA_SP7_NO!$E$20</f>
        <v>979.32</v>
      </c>
      <c r="F18" s="149">
        <f>[5]STA_SP7_NO!$E$20</f>
        <v>3934.52</v>
      </c>
      <c r="G18" s="149">
        <f>[6]STA_SP7_NO!$E$20</f>
        <v>75</v>
      </c>
      <c r="H18" s="149">
        <f>[7]STA_SP7_NO!$E$20</f>
        <v>0</v>
      </c>
      <c r="I18" s="149">
        <f>[8]STA_SP7_NO!$E$20</f>
        <v>300.01</v>
      </c>
      <c r="J18" s="149">
        <f>[9]STA_SP7_NO!$E$20</f>
        <v>15</v>
      </c>
      <c r="K18" s="149">
        <f>[10]STA_SP7_NO!$E$20</f>
        <v>275</v>
      </c>
      <c r="L18" s="291">
        <f>[11]STA_SP7_NO!$E$20</f>
        <v>0</v>
      </c>
      <c r="M18" s="149">
        <f>SUM(B18:L18)</f>
        <v>6441.0400000000009</v>
      </c>
    </row>
    <row r="19" spans="1:13" x14ac:dyDescent="0.25">
      <c r="A19" s="123" t="s">
        <v>74</v>
      </c>
      <c r="B19" s="75"/>
      <c r="C19" s="75"/>
      <c r="D19" s="76"/>
      <c r="E19" s="75"/>
      <c r="F19" s="75"/>
      <c r="G19" s="75"/>
      <c r="H19" s="75"/>
      <c r="I19" s="76"/>
      <c r="J19" s="75"/>
      <c r="K19" s="75"/>
      <c r="L19" s="76"/>
      <c r="M19" s="75"/>
    </row>
    <row r="20" spans="1:13" x14ac:dyDescent="0.25">
      <c r="A20" s="124" t="s">
        <v>76</v>
      </c>
      <c r="B20" s="149">
        <f>[1]STA_SP7_NO!$C$21</f>
        <v>0</v>
      </c>
      <c r="C20" s="149">
        <f>[2]STA_SP7_NO!$C$21</f>
        <v>0</v>
      </c>
      <c r="D20" s="150">
        <f>[3]STA_SP7_NO!$C$21</f>
        <v>939</v>
      </c>
      <c r="E20" s="149">
        <f>[4]STA_SP7_NO!$C$21</f>
        <v>0</v>
      </c>
      <c r="F20" s="149">
        <f>[5]STA_SP7_NO!$C$21</f>
        <v>0</v>
      </c>
      <c r="G20" s="149">
        <f>[6]STA_SP7_NO!$C$21</f>
        <v>0</v>
      </c>
      <c r="H20" s="149">
        <f>[7]STA_SP7_NO!$C$21</f>
        <v>0</v>
      </c>
      <c r="I20" s="149">
        <f>[8]STA_SP7_NO!$C$21</f>
        <v>0</v>
      </c>
      <c r="J20" s="149">
        <f>[9]STA_SP7_NO!$C$21</f>
        <v>0</v>
      </c>
      <c r="K20" s="149">
        <f>[10]STA_SP7_NO!$C$21</f>
        <v>0</v>
      </c>
      <c r="L20" s="291">
        <f>[11]STA_SP7_NO!$C$21</f>
        <v>0</v>
      </c>
      <c r="M20" s="149">
        <f>SUM(B20:L20)</f>
        <v>939</v>
      </c>
    </row>
    <row r="21" spans="1:13" x14ac:dyDescent="0.25">
      <c r="A21" s="124" t="s">
        <v>77</v>
      </c>
      <c r="B21" s="149">
        <f>[1]STA_SP7_NO!$D$21</f>
        <v>0</v>
      </c>
      <c r="C21" s="149">
        <f>[2]STA_SP7_NO!$D$21</f>
        <v>0</v>
      </c>
      <c r="D21" s="150">
        <f>[3]STA_SP7_NO!$D$21</f>
        <v>13004</v>
      </c>
      <c r="E21" s="149">
        <f>[4]STA_SP7_NO!$D$21</f>
        <v>0</v>
      </c>
      <c r="F21" s="149">
        <f>[5]STA_SP7_NO!$D$21</f>
        <v>0</v>
      </c>
      <c r="G21" s="149">
        <f>[6]STA_SP7_NO!$D$21</f>
        <v>0</v>
      </c>
      <c r="H21" s="149">
        <f>[7]STA_SP7_NO!$D$21</f>
        <v>0</v>
      </c>
      <c r="I21" s="149">
        <f>[8]STA_SP7_NO!$D$21</f>
        <v>0</v>
      </c>
      <c r="J21" s="149">
        <f>[9]STA_SP7_NO!$D$21</f>
        <v>0</v>
      </c>
      <c r="K21" s="149">
        <f>[10]STA_SP7_NO!$D$21</f>
        <v>0</v>
      </c>
      <c r="L21" s="291">
        <f>[11]STA_SP7_NO!$D$21</f>
        <v>0</v>
      </c>
      <c r="M21" s="149">
        <f>SUM(B21:L21)</f>
        <v>13004</v>
      </c>
    </row>
    <row r="22" spans="1:13" ht="12.75" customHeight="1" x14ac:dyDescent="0.25">
      <c r="A22" s="124" t="s">
        <v>58</v>
      </c>
      <c r="B22" s="149">
        <f>[1]STA_SP7_NO!$E$21</f>
        <v>0</v>
      </c>
      <c r="C22" s="149">
        <f>[2]STA_SP7_NO!$E$21</f>
        <v>0</v>
      </c>
      <c r="D22" s="150">
        <f>[3]STA_SP7_NO!$E$21</f>
        <v>1949</v>
      </c>
      <c r="E22" s="149">
        <f>[4]STA_SP7_NO!$E$21</f>
        <v>0</v>
      </c>
      <c r="F22" s="149">
        <f>[5]STA_SP7_NO!$E$21</f>
        <v>0</v>
      </c>
      <c r="G22" s="149">
        <f>[6]STA_SP7_NO!$E$21</f>
        <v>0</v>
      </c>
      <c r="H22" s="149">
        <f>[7]STA_SP7_NO!$E$21</f>
        <v>0</v>
      </c>
      <c r="I22" s="149">
        <f>[8]STA_SP7_NO!$E$21</f>
        <v>0</v>
      </c>
      <c r="J22" s="149">
        <f>[9]STA_SP7_NO!$E$21</f>
        <v>0</v>
      </c>
      <c r="K22" s="149">
        <f>[10]STA_SP7_NO!$E$21</f>
        <v>0</v>
      </c>
      <c r="L22" s="291">
        <f>[11]STA_SP7_NO!$E$21</f>
        <v>0</v>
      </c>
      <c r="M22" s="149">
        <f>SUM(B22:L22)</f>
        <v>1949</v>
      </c>
    </row>
    <row r="23" spans="1:13" x14ac:dyDescent="0.25">
      <c r="A23" s="123" t="s">
        <v>75</v>
      </c>
      <c r="B23" s="75"/>
      <c r="C23" s="75"/>
      <c r="D23" s="76"/>
      <c r="E23" s="75"/>
      <c r="F23" s="75"/>
      <c r="G23" s="75"/>
      <c r="H23" s="75"/>
      <c r="I23" s="76"/>
      <c r="J23" s="75"/>
      <c r="K23" s="75"/>
      <c r="L23" s="76"/>
      <c r="M23" s="75"/>
    </row>
    <row r="24" spans="1:13" x14ac:dyDescent="0.25">
      <c r="A24" s="124" t="s">
        <v>76</v>
      </c>
      <c r="B24" s="149">
        <f>[1]STA_SP7_NO!$C$22</f>
        <v>4576</v>
      </c>
      <c r="C24" s="149">
        <f>[2]STA_SP7_NO!$C$22</f>
        <v>12353</v>
      </c>
      <c r="D24" s="150">
        <f>[3]STA_SP7_NO!$C$22</f>
        <v>3158</v>
      </c>
      <c r="E24" s="149">
        <f>[4]STA_SP7_NO!$C$22</f>
        <v>50038</v>
      </c>
      <c r="F24" s="149">
        <f>[5]STA_SP7_NO!$C$22</f>
        <v>0</v>
      </c>
      <c r="G24" s="149">
        <f>[6]STA_SP7_NO!$C$22</f>
        <v>0</v>
      </c>
      <c r="H24" s="149">
        <f>[7]STA_SP7_NO!$C$22</f>
        <v>13</v>
      </c>
      <c r="I24" s="149">
        <f>[8]STA_SP7_NO!$C$22</f>
        <v>1422</v>
      </c>
      <c r="J24" s="149">
        <f>[9]STA_SP7_NO!$C$22</f>
        <v>55406</v>
      </c>
      <c r="K24" s="149">
        <f>[10]STA_SP7_NO!$C$22</f>
        <v>70060</v>
      </c>
      <c r="L24" s="291">
        <f>[11]STA_SP7_NO!$C$22</f>
        <v>0</v>
      </c>
      <c r="M24" s="149">
        <f>SUM(B24:L24)</f>
        <v>197026</v>
      </c>
    </row>
    <row r="25" spans="1:13" x14ac:dyDescent="0.25">
      <c r="A25" s="124" t="s">
        <v>77</v>
      </c>
      <c r="B25" s="149">
        <f>[1]STA_SP7_NO!$D$22</f>
        <v>62252.13</v>
      </c>
      <c r="C25" s="149">
        <f>[2]STA_SP7_NO!$D$22</f>
        <v>29434.05</v>
      </c>
      <c r="D25" s="150">
        <f>[3]STA_SP7_NO!$D$22</f>
        <v>6613</v>
      </c>
      <c r="E25" s="149">
        <f>[4]STA_SP7_NO!$D$22</f>
        <v>68013.539999999994</v>
      </c>
      <c r="F25" s="149">
        <f>[5]STA_SP7_NO!$D$22</f>
        <v>0</v>
      </c>
      <c r="G25" s="149">
        <f>[6]STA_SP7_NO!$D$22</f>
        <v>0</v>
      </c>
      <c r="H25" s="149">
        <f>[7]STA_SP7_NO!$D$22</f>
        <v>139</v>
      </c>
      <c r="I25" s="149">
        <f>[8]STA_SP7_NO!$D$22</f>
        <v>4758</v>
      </c>
      <c r="J25" s="149">
        <f>[9]STA_SP7_NO!$D$22</f>
        <v>492766.62</v>
      </c>
      <c r="K25" s="149">
        <f>[10]STA_SP7_NO!$D$22</f>
        <v>98415</v>
      </c>
      <c r="L25" s="291">
        <f>[11]STA_SP7_NO!$D$22</f>
        <v>0</v>
      </c>
      <c r="M25" s="149">
        <f>SUM(B25:L25)</f>
        <v>762391.34</v>
      </c>
    </row>
    <row r="26" spans="1:13" x14ac:dyDescent="0.25">
      <c r="A26" s="124" t="s">
        <v>58</v>
      </c>
      <c r="B26" s="149">
        <f>[1]STA_SP7_NO!$E$22</f>
        <v>13226.83</v>
      </c>
      <c r="C26" s="149">
        <f>[2]STA_SP7_NO!$E$22</f>
        <v>7561.45</v>
      </c>
      <c r="D26" s="150">
        <f>[3]STA_SP7_NO!$E$22</f>
        <v>1915</v>
      </c>
      <c r="E26" s="149">
        <f>[4]STA_SP7_NO!$E$22</f>
        <v>20388.16</v>
      </c>
      <c r="F26" s="149">
        <f>[5]STA_SP7_NO!$E$22</f>
        <v>0</v>
      </c>
      <c r="G26" s="149">
        <f>[6]STA_SP7_NO!$E$22</f>
        <v>0</v>
      </c>
      <c r="H26" s="149">
        <f>[7]STA_SP7_NO!$E$22</f>
        <v>0</v>
      </c>
      <c r="I26" s="149">
        <f>[8]STA_SP7_NO!$E$22</f>
        <v>0</v>
      </c>
      <c r="J26" s="149">
        <f>[9]STA_SP7_NO!$E$22</f>
        <v>55917</v>
      </c>
      <c r="K26" s="149">
        <f>[10]STA_SP7_NO!$E$22</f>
        <v>38134</v>
      </c>
      <c r="L26" s="291">
        <f>[11]STA_SP7_NO!$E$22</f>
        <v>0</v>
      </c>
      <c r="M26" s="149">
        <f>SUM(B26:L26)</f>
        <v>137142.44</v>
      </c>
    </row>
    <row r="27" spans="1:13" x14ac:dyDescent="0.25">
      <c r="A27" s="123" t="s">
        <v>78</v>
      </c>
      <c r="B27" s="75"/>
      <c r="C27" s="75"/>
      <c r="D27" s="76"/>
      <c r="E27" s="75"/>
      <c r="F27" s="75"/>
      <c r="G27" s="75"/>
      <c r="H27" s="75"/>
      <c r="I27" s="76"/>
      <c r="J27" s="75"/>
      <c r="K27" s="75"/>
      <c r="L27" s="76"/>
      <c r="M27" s="75"/>
    </row>
    <row r="28" spans="1:13" x14ac:dyDescent="0.25">
      <c r="A28" s="124" t="s">
        <v>76</v>
      </c>
      <c r="B28" s="149">
        <f>[1]STA_SP7_NO!$C$29</f>
        <v>114527</v>
      </c>
      <c r="C28" s="149">
        <f>[2]STA_SP7_NO!$C$29</f>
        <v>10006</v>
      </c>
      <c r="D28" s="150">
        <f>[3]STA_SP7_NO!$C$29</f>
        <v>6316</v>
      </c>
      <c r="E28" s="149">
        <f>[4]STA_SP7_NO!$C$29</f>
        <v>42285</v>
      </c>
      <c r="F28" s="149">
        <f>[5]STA_SP7_NO!$C$29</f>
        <v>6408</v>
      </c>
      <c r="G28" s="149">
        <f>[6]STA_SP7_NO!$C$29</f>
        <v>56747</v>
      </c>
      <c r="H28" s="149">
        <f>[7]STA_SP7_NO!$C$29</f>
        <v>102691</v>
      </c>
      <c r="I28" s="149">
        <f>[8]STA_SP7_NO!$C$29</f>
        <v>12225</v>
      </c>
      <c r="J28" s="149">
        <f>[9]STA_SP7_NO!$C$29</f>
        <v>74809</v>
      </c>
      <c r="K28" s="149">
        <f>[10]STA_SP7_NO!$C$29</f>
        <v>5415</v>
      </c>
      <c r="L28" s="291">
        <f>[11]STA_SP7_NO!$C$29</f>
        <v>427</v>
      </c>
      <c r="M28" s="149">
        <f>SUM(B28:L28)</f>
        <v>431856</v>
      </c>
    </row>
    <row r="29" spans="1:13" x14ac:dyDescent="0.25">
      <c r="A29" s="124" t="s">
        <v>77</v>
      </c>
      <c r="B29" s="149">
        <f>[1]STA_SP7_NO!$D$29</f>
        <v>755793.08</v>
      </c>
      <c r="C29" s="149">
        <f>[2]STA_SP7_NO!$D$29</f>
        <v>54379.519999999997</v>
      </c>
      <c r="D29" s="150">
        <f>[3]STA_SP7_NO!$D$29</f>
        <v>33516</v>
      </c>
      <c r="E29" s="149">
        <f>[4]STA_SP7_NO!$D$29</f>
        <v>297910.38</v>
      </c>
      <c r="F29" s="149">
        <f>[5]STA_SP7_NO!$D$29</f>
        <v>71185.990000000005</v>
      </c>
      <c r="G29" s="149">
        <f>[6]STA_SP7_NO!$D$29</f>
        <v>306320</v>
      </c>
      <c r="H29" s="149">
        <f>[7]STA_SP7_NO!$D$29</f>
        <v>592090</v>
      </c>
      <c r="I29" s="149">
        <f>[8]STA_SP7_NO!$D$29</f>
        <v>74562</v>
      </c>
      <c r="J29" s="149">
        <f>[9]STA_SP7_NO!$D$29</f>
        <v>473690.84</v>
      </c>
      <c r="K29" s="149">
        <f>[10]STA_SP7_NO!$D$29</f>
        <v>83488</v>
      </c>
      <c r="L29" s="291">
        <f>[11]STA_SP7_NO!$D$29</f>
        <v>2851.74</v>
      </c>
      <c r="M29" s="149">
        <f>SUM(B29:L29)</f>
        <v>2745787.55</v>
      </c>
    </row>
    <row r="30" spans="1:13" x14ac:dyDescent="0.25">
      <c r="A30" s="124" t="s">
        <v>58</v>
      </c>
      <c r="B30" s="149">
        <f>[1]STA_SP7_NO!$E$29</f>
        <v>205003.99</v>
      </c>
      <c r="C30" s="149">
        <f>[2]STA_SP7_NO!$E$29</f>
        <v>18365.009999999998</v>
      </c>
      <c r="D30" s="150">
        <f>[3]STA_SP7_NO!$E$29</f>
        <v>6319</v>
      </c>
      <c r="E30" s="149">
        <f>[4]STA_SP7_NO!$E$29</f>
        <v>55309.45</v>
      </c>
      <c r="F30" s="149">
        <f>[5]STA_SP7_NO!$E$29</f>
        <v>13864.58</v>
      </c>
      <c r="G30" s="149">
        <f>[6]STA_SP7_NO!$E$29</f>
        <v>86783</v>
      </c>
      <c r="H30" s="149">
        <f>[7]STA_SP7_NO!$E$29</f>
        <v>179112</v>
      </c>
      <c r="I30" s="149">
        <f>[8]STA_SP7_NO!$E$29</f>
        <v>14514.03</v>
      </c>
      <c r="J30" s="149">
        <f>[9]STA_SP7_NO!$E$29</f>
        <v>1738</v>
      </c>
      <c r="K30" s="149">
        <f>[10]STA_SP7_NO!$E$29</f>
        <v>50185.79</v>
      </c>
      <c r="L30" s="291">
        <f>[11]STA_SP7_NO!$E$29</f>
        <v>614.30999999999995</v>
      </c>
      <c r="M30" s="149">
        <f>SUM(B30:L30)</f>
        <v>631809.16000000015</v>
      </c>
    </row>
    <row r="31" spans="1:13" ht="12" customHeight="1" x14ac:dyDescent="0.25">
      <c r="A31" s="123" t="s">
        <v>79</v>
      </c>
      <c r="B31" s="123"/>
      <c r="C31" s="75"/>
      <c r="D31" s="76"/>
      <c r="E31" s="75"/>
      <c r="F31" s="75"/>
      <c r="G31" s="75"/>
      <c r="H31" s="75"/>
      <c r="I31" s="76"/>
      <c r="J31" s="75"/>
      <c r="K31" s="75"/>
      <c r="L31" s="76"/>
      <c r="M31" s="75"/>
    </row>
    <row r="32" spans="1:13" x14ac:dyDescent="0.25">
      <c r="A32" s="124" t="s">
        <v>76</v>
      </c>
      <c r="B32" s="149">
        <f>[1]STA_SP7_NO!$C$38</f>
        <v>0</v>
      </c>
      <c r="C32" s="149">
        <f>[2]STA_SP7_NO!$C$38</f>
        <v>0</v>
      </c>
      <c r="D32" s="150">
        <f>[3]STA_SP7_NO!$C$38</f>
        <v>71690</v>
      </c>
      <c r="E32" s="149">
        <f>[4]STA_SP7_NO!$C$38</f>
        <v>35896</v>
      </c>
      <c r="F32" s="149">
        <f>[5]STA_SP7_NO!$C$38</f>
        <v>131</v>
      </c>
      <c r="G32" s="149">
        <f>[6]STA_SP7_NO!$C$38</f>
        <v>0</v>
      </c>
      <c r="H32" s="149">
        <f>[7]STA_SP7_NO!$C$38</f>
        <v>0</v>
      </c>
      <c r="I32" s="149">
        <f>[8]STA_SP7_NO!$C$38</f>
        <v>0</v>
      </c>
      <c r="J32" s="149">
        <f>[9]STA_SP7_NO!$C$38</f>
        <v>0</v>
      </c>
      <c r="K32" s="149">
        <f>[10]STA_SP7_NO!$C$38</f>
        <v>1035</v>
      </c>
      <c r="L32" s="291">
        <f>[11]STA_SP7_NO!$C$38</f>
        <v>0</v>
      </c>
      <c r="M32" s="149">
        <f>SUM(B32:L32)</f>
        <v>108752</v>
      </c>
    </row>
    <row r="33" spans="1:13" ht="12.75" customHeight="1" x14ac:dyDescent="0.25">
      <c r="A33" s="124" t="s">
        <v>77</v>
      </c>
      <c r="B33" s="149">
        <f>[1]STA_SP7_NO!$D$38</f>
        <v>0</v>
      </c>
      <c r="C33" s="149">
        <f>[2]STA_SP7_NO!$D$38</f>
        <v>0</v>
      </c>
      <c r="D33" s="150">
        <f>[3]STA_SP7_NO!$D$38</f>
        <v>335987</v>
      </c>
      <c r="E33" s="149">
        <f>[4]STA_SP7_NO!$D$38</f>
        <v>27158.27</v>
      </c>
      <c r="F33" s="149">
        <f>[5]STA_SP7_NO!$D$38</f>
        <v>634.70000000000005</v>
      </c>
      <c r="G33" s="149">
        <f>[6]STA_SP7_NO!$D$38</f>
        <v>0</v>
      </c>
      <c r="H33" s="149">
        <f>[7]STA_SP7_NO!$D$38</f>
        <v>0</v>
      </c>
      <c r="I33" s="149">
        <f>[8]STA_SP7_NO!$D$38</f>
        <v>0</v>
      </c>
      <c r="J33" s="149">
        <f>[9]STA_SP7_NO!$D$38</f>
        <v>0</v>
      </c>
      <c r="K33" s="149">
        <f>[10]STA_SP7_NO!$D$38</f>
        <v>17388</v>
      </c>
      <c r="L33" s="291">
        <f>[11]STA_SP7_NO!$D$38</f>
        <v>0</v>
      </c>
      <c r="M33" s="149">
        <f>SUM(B33:L33)</f>
        <v>381167.97000000003</v>
      </c>
    </row>
    <row r="34" spans="1:13" ht="15.75" thickBot="1" x14ac:dyDescent="0.3">
      <c r="A34" s="125" t="s">
        <v>58</v>
      </c>
      <c r="B34" s="207">
        <f>[1]STA_SP7_NO!$E$38</f>
        <v>0</v>
      </c>
      <c r="C34" s="207">
        <f>[2]STA_SP7_NO!$E$38</f>
        <v>0</v>
      </c>
      <c r="D34" s="208">
        <f>[3]STA_SP7_NO!$E$38</f>
        <v>87090</v>
      </c>
      <c r="E34" s="116">
        <f>[4]STA_SP7_NO!$E$38</f>
        <v>2233.2800000000002</v>
      </c>
      <c r="F34" s="116">
        <f>[5]STA_SP7_NO!$E$38</f>
        <v>226.3</v>
      </c>
      <c r="G34" s="116">
        <f>[6]STA_SP7_NO!$E$38</f>
        <v>0</v>
      </c>
      <c r="H34" s="116">
        <f>[7]STA_SP7_NO!$E$38</f>
        <v>0</v>
      </c>
      <c r="I34" s="116">
        <f>[8]STA_SP7_NO!$E$38</f>
        <v>0</v>
      </c>
      <c r="J34" s="207">
        <f>[9]STA_SP7_NO!$E$38</f>
        <v>0</v>
      </c>
      <c r="K34" s="116">
        <f>[10]STA_SP7_NO!$E$38</f>
        <v>4497</v>
      </c>
      <c r="L34" s="292">
        <f>[11]STA_SP7_NO!$E$38</f>
        <v>0</v>
      </c>
      <c r="M34" s="116">
        <f>SUM(B34:L34)</f>
        <v>94046.58</v>
      </c>
    </row>
    <row r="37" spans="1:13" x14ac:dyDescent="0.25"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</row>
    <row r="38" spans="1:13" x14ac:dyDescent="0.25"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</row>
    <row r="39" spans="1:13" x14ac:dyDescent="0.25"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</row>
    <row r="40" spans="1:13" x14ac:dyDescent="0.25">
      <c r="L40" s="1"/>
      <c r="M40" s="198"/>
    </row>
    <row r="41" spans="1:13" x14ac:dyDescent="0.25"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</row>
    <row r="42" spans="1:13" x14ac:dyDescent="0.25"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</row>
    <row r="45" spans="1:13" x14ac:dyDescent="0.25"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</row>
  </sheetData>
  <pageMargins left="0.25" right="0.25" top="0.75" bottom="0.75" header="0.3" footer="0.3"/>
  <pageSetup paperSize="9" scale="7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D32" sqref="D32"/>
    </sheetView>
  </sheetViews>
  <sheetFormatPr defaultRowHeight="15" x14ac:dyDescent="0.25"/>
  <cols>
    <col min="1" max="1" width="7" customWidth="1"/>
    <col min="2" max="2" width="16.5703125" customWidth="1"/>
    <col min="3" max="3" width="13.42578125" customWidth="1"/>
    <col min="4" max="4" width="11.28515625" customWidth="1"/>
    <col min="5" max="6" width="14.28515625" customWidth="1"/>
    <col min="7" max="7" width="12.28515625" customWidth="1"/>
    <col min="8" max="8" width="12.42578125" customWidth="1"/>
    <col min="9" max="10" width="11.42578125" customWidth="1"/>
    <col min="11" max="11" width="11.140625" customWidth="1"/>
  </cols>
  <sheetData>
    <row r="1" spans="1:11" x14ac:dyDescent="0.2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x14ac:dyDescent="0.25">
      <c r="A2" s="164"/>
      <c r="B2" s="581" t="s">
        <v>119</v>
      </c>
      <c r="C2" s="581"/>
      <c r="D2" s="581"/>
      <c r="E2" s="581"/>
      <c r="F2" s="581"/>
      <c r="G2" s="582"/>
      <c r="H2" s="582"/>
      <c r="I2" s="94"/>
      <c r="J2" s="94"/>
      <c r="K2" s="94"/>
    </row>
    <row r="3" spans="1:11" ht="15.75" thickBot="1" x14ac:dyDescent="0.3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55" t="s">
        <v>92</v>
      </c>
    </row>
    <row r="4" spans="1:11" ht="15.75" thickBot="1" x14ac:dyDescent="0.3">
      <c r="A4" s="503" t="s">
        <v>82</v>
      </c>
      <c r="B4" s="503" t="s">
        <v>57</v>
      </c>
      <c r="C4" s="503" t="s">
        <v>83</v>
      </c>
      <c r="D4" s="503" t="s">
        <v>84</v>
      </c>
      <c r="E4" s="583" t="s">
        <v>85</v>
      </c>
      <c r="F4" s="584"/>
      <c r="G4" s="585"/>
      <c r="H4" s="503" t="s">
        <v>86</v>
      </c>
      <c r="I4" s="503" t="s">
        <v>80</v>
      </c>
      <c r="J4" s="503" t="s">
        <v>87</v>
      </c>
      <c r="K4" s="503" t="s">
        <v>3</v>
      </c>
    </row>
    <row r="5" spans="1:11" ht="47.25" customHeight="1" thickBot="1" x14ac:dyDescent="0.3">
      <c r="A5" s="504"/>
      <c r="B5" s="504"/>
      <c r="C5" s="504"/>
      <c r="D5" s="504"/>
      <c r="E5" s="89" t="s">
        <v>59</v>
      </c>
      <c r="F5" s="89" t="s">
        <v>60</v>
      </c>
      <c r="G5" s="89" t="s">
        <v>88</v>
      </c>
      <c r="H5" s="504"/>
      <c r="I5" s="504"/>
      <c r="J5" s="504"/>
      <c r="K5" s="504"/>
    </row>
    <row r="6" spans="1:11" ht="15.75" thickBot="1" x14ac:dyDescent="0.3">
      <c r="A6" s="275"/>
      <c r="B6" s="276" t="s">
        <v>55</v>
      </c>
      <c r="C6" s="277">
        <f t="shared" ref="C6:K6" si="0">SUM(C7:C17)</f>
        <v>7021537.3800000008</v>
      </c>
      <c r="D6" s="278">
        <f t="shared" si="0"/>
        <v>65131.65</v>
      </c>
      <c r="E6" s="279">
        <f t="shared" si="0"/>
        <v>3979101.7899999996</v>
      </c>
      <c r="F6" s="279">
        <f t="shared" si="0"/>
        <v>3031380.92</v>
      </c>
      <c r="G6" s="280">
        <f t="shared" si="0"/>
        <v>7233223.75</v>
      </c>
      <c r="H6" s="278">
        <f t="shared" si="0"/>
        <v>0</v>
      </c>
      <c r="I6" s="278">
        <f t="shared" si="0"/>
        <v>0</v>
      </c>
      <c r="J6" s="278">
        <f t="shared" si="0"/>
        <v>63794.61</v>
      </c>
      <c r="K6" s="281">
        <f t="shared" si="0"/>
        <v>14383687.389999997</v>
      </c>
    </row>
    <row r="7" spans="1:11" x14ac:dyDescent="0.25">
      <c r="A7" s="90">
        <v>1</v>
      </c>
      <c r="B7" s="129" t="s">
        <v>69</v>
      </c>
      <c r="C7" s="136">
        <f>[1]STA_SP5_NO!$C$41+[1]STA_SP5_NO!$K$41</f>
        <v>1030720.97</v>
      </c>
      <c r="D7" s="137">
        <f>[1]STA_SP5_NO!$D$41</f>
        <v>8112.56</v>
      </c>
      <c r="E7" s="136">
        <f>[1]STA_SP5_NO!$E$41</f>
        <v>932681.02</v>
      </c>
      <c r="F7" s="136">
        <f>[1]STA_SP5_NO!$G$41</f>
        <v>382646.14</v>
      </c>
      <c r="G7" s="137">
        <f>E7+F7+[1]STA_SP5_NO!$I$41</f>
        <v>1329795.7700000003</v>
      </c>
      <c r="H7" s="136">
        <v>0</v>
      </c>
      <c r="I7" s="136">
        <v>0</v>
      </c>
      <c r="J7" s="136">
        <f>[1]STA_SP5_NO!$M$41</f>
        <v>0</v>
      </c>
      <c r="K7" s="137">
        <f>C7+D7+G7+J7</f>
        <v>2368629.3000000003</v>
      </c>
    </row>
    <row r="8" spans="1:11" x14ac:dyDescent="0.25">
      <c r="A8" s="88">
        <v>2</v>
      </c>
      <c r="B8" s="93" t="s">
        <v>4</v>
      </c>
      <c r="C8" s="138">
        <f>[2]STA_SP5_NO!$C$41+[2]STA_SP5_NO!$K$41</f>
        <v>691626.74</v>
      </c>
      <c r="D8" s="134">
        <f>[2]STA_SP5_NO!$D$41</f>
        <v>10875.69</v>
      </c>
      <c r="E8" s="134">
        <f>[2]STA_SP5_NO!$E$41</f>
        <v>940546.05</v>
      </c>
      <c r="F8" s="134">
        <f>[2]STA_SP5_NO!$G$41</f>
        <v>279340.12</v>
      </c>
      <c r="G8" s="138">
        <f>E8+F8+[2]STA_SP5_NO!$I$41</f>
        <v>1309973.1199999999</v>
      </c>
      <c r="H8" s="138">
        <v>0</v>
      </c>
      <c r="I8" s="138">
        <v>0</v>
      </c>
      <c r="J8" s="138">
        <f>[2]STA_SP5_NO!$M$41</f>
        <v>0</v>
      </c>
      <c r="K8" s="174">
        <f>C8+D8+G8+J8</f>
        <v>2012475.5499999998</v>
      </c>
    </row>
    <row r="9" spans="1:11" x14ac:dyDescent="0.25">
      <c r="A9" s="91">
        <v>3</v>
      </c>
      <c r="B9" s="130" t="s">
        <v>5</v>
      </c>
      <c r="C9" s="133">
        <f>[3]STA_SP5_NO!$C$41+[3]STA_SP5_NO!$K$41</f>
        <v>290145</v>
      </c>
      <c r="D9" s="133">
        <f>[3]STA_SP5_NO!$D$41</f>
        <v>2241</v>
      </c>
      <c r="E9" s="133">
        <f>[3]STA_SP5_NO!$E$41</f>
        <v>199463</v>
      </c>
      <c r="F9" s="133">
        <f>[3]STA_SP5_NO!$G$41</f>
        <v>273309</v>
      </c>
      <c r="G9" s="141">
        <f>E9+F9+[3]STA_SP5_NO!$I$41</f>
        <v>505592</v>
      </c>
      <c r="H9" s="133">
        <v>0</v>
      </c>
      <c r="I9" s="133">
        <v>0</v>
      </c>
      <c r="J9" s="141">
        <f>[3]STA_SP5_NO!$M$41</f>
        <v>23000</v>
      </c>
      <c r="K9" s="137">
        <f>C9+D9+G9+J9</f>
        <v>820978</v>
      </c>
    </row>
    <row r="10" spans="1:11" x14ac:dyDescent="0.25">
      <c r="A10" s="88">
        <v>4</v>
      </c>
      <c r="B10" s="93" t="s">
        <v>6</v>
      </c>
      <c r="C10" s="134">
        <f>[4]STA_SP5_NO!$C$41+[4]STA_SP5_NO!$K$41</f>
        <v>710695.6</v>
      </c>
      <c r="D10" s="134">
        <f>[4]STA_SP5_NO!$D$41</f>
        <v>10619.58</v>
      </c>
      <c r="E10" s="134">
        <f>[4]STA_SP5_NO!$E$41</f>
        <v>320916.34999999998</v>
      </c>
      <c r="F10" s="134">
        <f>[4]STA_SP5_NO!$G$41</f>
        <v>250721.04</v>
      </c>
      <c r="G10" s="138">
        <f>E10+F10+[4]STA_SP5_NO!$I$41</f>
        <v>589929.78</v>
      </c>
      <c r="H10" s="134">
        <v>0</v>
      </c>
      <c r="I10" s="134">
        <v>0</v>
      </c>
      <c r="J10" s="138">
        <f>[4]STA_SP5_NO!$M$41</f>
        <v>0</v>
      </c>
      <c r="K10" s="174">
        <f t="shared" ref="K10" si="1">C10+D10+G10+J10</f>
        <v>1311244.96</v>
      </c>
    </row>
    <row r="11" spans="1:11" x14ac:dyDescent="0.25">
      <c r="A11" s="90">
        <v>5</v>
      </c>
      <c r="B11" s="93" t="s">
        <v>8</v>
      </c>
      <c r="C11" s="134">
        <f>[5]STA_SP5_NO!$C$41+[5]STA_SP5_NO!$K$41</f>
        <v>1230114</v>
      </c>
      <c r="D11" s="134">
        <f>[5]STA_SP5_NO!$D$41</f>
        <v>11932</v>
      </c>
      <c r="E11" s="134">
        <f>[5]STA_SP5_NO!$E$41</f>
        <v>365120</v>
      </c>
      <c r="F11" s="134">
        <f>[5]STA_SP5_NO!$G$41</f>
        <v>317799</v>
      </c>
      <c r="G11" s="138">
        <f>E11+F11+[5]STA_SP5_NO!$I$41</f>
        <v>692115</v>
      </c>
      <c r="H11" s="134">
        <v>0</v>
      </c>
      <c r="I11" s="134">
        <v>0</v>
      </c>
      <c r="J11" s="138">
        <f>[5]STA_SP5_NO!$M$41</f>
        <v>0</v>
      </c>
      <c r="K11" s="174">
        <f t="shared" ref="K11:K17" si="2">C11+D11+G11+J11</f>
        <v>1934161</v>
      </c>
    </row>
    <row r="12" spans="1:11" x14ac:dyDescent="0.25">
      <c r="A12" s="88">
        <v>6</v>
      </c>
      <c r="B12" s="130" t="s">
        <v>94</v>
      </c>
      <c r="C12" s="133">
        <f>[6]STA_SP5_NO!$C$41+[6]STA_SP5_NO!$K$41</f>
        <v>377931.27</v>
      </c>
      <c r="D12" s="133">
        <f>[6]STA_SP5_NO!$D$41</f>
        <v>0</v>
      </c>
      <c r="E12" s="133">
        <f>[6]STA_SP5_NO!$E$41</f>
        <v>213807.4</v>
      </c>
      <c r="F12" s="133">
        <f>[6]STA_SP5_NO!$G$41</f>
        <v>159513.56</v>
      </c>
      <c r="G12" s="141">
        <f>E12+F12+[6]STA_SP5_NO!$I$41</f>
        <v>375973.74</v>
      </c>
      <c r="H12" s="133">
        <v>0</v>
      </c>
      <c r="I12" s="133">
        <v>0</v>
      </c>
      <c r="J12" s="141">
        <f>[6]STA_SP5_NO!$M$41</f>
        <v>0</v>
      </c>
      <c r="K12" s="137">
        <f t="shared" si="2"/>
        <v>753905.01</v>
      </c>
    </row>
    <row r="13" spans="1:11" x14ac:dyDescent="0.25">
      <c r="A13" s="91">
        <v>7</v>
      </c>
      <c r="B13" s="93" t="s">
        <v>9</v>
      </c>
      <c r="C13" s="134">
        <f>[7]STA_SP5_NO!$C$41+[7]STA_SP5_NO!$K$41</f>
        <v>858179</v>
      </c>
      <c r="D13" s="134">
        <f>[7]STA_SP5_NO!$D$41</f>
        <v>32</v>
      </c>
      <c r="E13" s="134">
        <f>[7]STA_SP5_NO!$E$41</f>
        <v>204984</v>
      </c>
      <c r="F13" s="134">
        <f>[7]STA_SP5_NO!$G$41</f>
        <v>346189</v>
      </c>
      <c r="G13" s="138">
        <f>E13+F13+[7]STA_SP5_NO!$I$41</f>
        <v>561645</v>
      </c>
      <c r="H13" s="134">
        <v>0</v>
      </c>
      <c r="I13" s="134">
        <v>0</v>
      </c>
      <c r="J13" s="138">
        <f>[7]STA_SP5_NO!$M$41</f>
        <v>0</v>
      </c>
      <c r="K13" s="174">
        <f t="shared" si="2"/>
        <v>1419856</v>
      </c>
    </row>
    <row r="14" spans="1:11" x14ac:dyDescent="0.25">
      <c r="A14" s="88">
        <v>8</v>
      </c>
      <c r="B14" s="130" t="s">
        <v>38</v>
      </c>
      <c r="C14" s="133">
        <f>[8]STA_SP5_NO!$C$41+[8]STA_SP5_NO!$K$41</f>
        <v>482805.24000000005</v>
      </c>
      <c r="D14" s="133">
        <f>[8]STA_SP5_NO!$D$41</f>
        <v>3620.59</v>
      </c>
      <c r="E14" s="133">
        <f>[8]STA_SP5_NO!$E$41</f>
        <v>215256</v>
      </c>
      <c r="F14" s="133">
        <f>[8]STA_SP5_NO!$G$41</f>
        <v>312014.58</v>
      </c>
      <c r="G14" s="141">
        <f>E14+F14+[8]STA_SP5_NO!$I$41</f>
        <v>536932.50000000012</v>
      </c>
      <c r="H14" s="133">
        <v>0</v>
      </c>
      <c r="I14" s="133">
        <v>0</v>
      </c>
      <c r="J14" s="141">
        <f>[8]STA_SP5_NO!$M$41</f>
        <v>40794.61</v>
      </c>
      <c r="K14" s="137">
        <f t="shared" si="2"/>
        <v>1064152.9400000002</v>
      </c>
    </row>
    <row r="15" spans="1:11" x14ac:dyDescent="0.25">
      <c r="A15" s="90">
        <v>9</v>
      </c>
      <c r="B15" s="93" t="s">
        <v>93</v>
      </c>
      <c r="C15" s="138">
        <f>[9]STA_SP5_NO!$C$41+[9]STA_SP5_NO!$K$41</f>
        <v>646125.15</v>
      </c>
      <c r="D15" s="138">
        <f>[9]STA_SP5_NO!$D$41</f>
        <v>2900.23</v>
      </c>
      <c r="E15" s="138">
        <f>[9]STA_SP5_NO!$E$41</f>
        <v>236579.78</v>
      </c>
      <c r="F15" s="138">
        <f>[9]STA_SP5_NO!$G$41</f>
        <v>247912.11</v>
      </c>
      <c r="G15" s="138">
        <f>E15+F15+[9]STA_SP5_NO!$I$41</f>
        <v>499068.07</v>
      </c>
      <c r="H15" s="134">
        <v>0</v>
      </c>
      <c r="I15" s="134">
        <v>0</v>
      </c>
      <c r="J15" s="138">
        <f>[9]STA_SP5_NO!$M$41</f>
        <v>0</v>
      </c>
      <c r="K15" s="174">
        <f t="shared" si="2"/>
        <v>1148093.45</v>
      </c>
    </row>
    <row r="16" spans="1:11" x14ac:dyDescent="0.25">
      <c r="A16" s="88">
        <v>10</v>
      </c>
      <c r="B16" s="131" t="s">
        <v>11</v>
      </c>
      <c r="C16" s="140">
        <f>[10]STA_SP5_NO!$C$41+[10]STA_SP5_NO!$K$41</f>
        <v>690153</v>
      </c>
      <c r="D16" s="139">
        <f>[10]STA_SP5_NO!$D$41</f>
        <v>14798</v>
      </c>
      <c r="E16" s="140">
        <f>[10]STA_SP5_NO!$E$41</f>
        <v>339850</v>
      </c>
      <c r="F16" s="140">
        <f>[10]STA_SP5_NO!$G$41</f>
        <v>430592</v>
      </c>
      <c r="G16" s="139">
        <f>E16+F16+[10]STA_SP5_NO!$I$41</f>
        <v>790750</v>
      </c>
      <c r="H16" s="140">
        <v>0</v>
      </c>
      <c r="I16" s="140">
        <v>0</v>
      </c>
      <c r="J16" s="139">
        <f>[10]STA_SP5_NO!$M$41</f>
        <v>0</v>
      </c>
      <c r="K16" s="219">
        <f t="shared" si="2"/>
        <v>1495701</v>
      </c>
    </row>
    <row r="17" spans="1:11" s="1" customFormat="1" ht="15.75" thickBot="1" x14ac:dyDescent="0.3">
      <c r="A17" s="91">
        <v>11</v>
      </c>
      <c r="B17" s="287" t="s">
        <v>96</v>
      </c>
      <c r="C17" s="288">
        <f>[11]STA_SP5_NO!$C$41+[11]STA_SP5_NO!$K$41</f>
        <v>13041.41</v>
      </c>
      <c r="D17" s="289">
        <f>[11]STA_SP5_NO!$D$41</f>
        <v>0</v>
      </c>
      <c r="E17" s="288">
        <f>[11]STA_SP5_NO!$E$41</f>
        <v>9898.19</v>
      </c>
      <c r="F17" s="288">
        <f>[11]STA_SP5_NO!$G$41</f>
        <v>31344.37</v>
      </c>
      <c r="G17" s="289">
        <f>E17+F17+[11]STA_SP5_NO!$I$41</f>
        <v>41448.769999999997</v>
      </c>
      <c r="H17" s="288">
        <v>0</v>
      </c>
      <c r="I17" s="288">
        <v>0</v>
      </c>
      <c r="J17" s="289">
        <f>[11]STA_SP5_NO!$M$41</f>
        <v>0</v>
      </c>
      <c r="K17" s="289">
        <f t="shared" si="2"/>
        <v>54490.179999999993</v>
      </c>
    </row>
    <row r="18" spans="1:11" ht="15.75" thickBot="1" x14ac:dyDescent="0.3">
      <c r="A18" s="275"/>
      <c r="B18" s="276" t="s">
        <v>56</v>
      </c>
      <c r="C18" s="282">
        <f>SUM(C19:C24)</f>
        <v>49829.560000000005</v>
      </c>
      <c r="D18" s="283">
        <f>SUM(D19:D24)</f>
        <v>113257</v>
      </c>
      <c r="E18" s="283">
        <f>SUM(E19:E24)</f>
        <v>82028.08</v>
      </c>
      <c r="F18" s="283">
        <f>SUM(F19:F24)</f>
        <v>33124.6</v>
      </c>
      <c r="G18" s="284">
        <f>G19+G20+G21+G22+G23+G24</f>
        <v>123050.40000000001</v>
      </c>
      <c r="H18" s="283">
        <f>SUM(H19:H24)</f>
        <v>0</v>
      </c>
      <c r="I18" s="283">
        <f>SUM(I19:I24)</f>
        <v>12060753.369999999</v>
      </c>
      <c r="J18" s="283">
        <f>SUM(J19:J24)</f>
        <v>0</v>
      </c>
      <c r="K18" s="284">
        <f>SUM(K19:K24)</f>
        <v>12346890.33</v>
      </c>
    </row>
    <row r="19" spans="1:11" x14ac:dyDescent="0.25">
      <c r="A19" s="91">
        <v>1</v>
      </c>
      <c r="B19" s="130" t="s">
        <v>11</v>
      </c>
      <c r="C19" s="98">
        <f>[12]STA_SP4_ZO!$C$51</f>
        <v>20421</v>
      </c>
      <c r="D19" s="98">
        <f>[12]STA_SP4_ZO!$F$51</f>
        <v>0</v>
      </c>
      <c r="E19" s="98">
        <f>[12]STA_SP4_ZO!$G$51</f>
        <v>18160</v>
      </c>
      <c r="F19" s="204">
        <f>[12]STA_SP4_ZO!$H$51</f>
        <v>6411</v>
      </c>
      <c r="G19" s="141">
        <f>E19+F19+[12]STA_SP4_ZO!$J$51</f>
        <v>25673</v>
      </c>
      <c r="H19" s="133">
        <v>0</v>
      </c>
      <c r="I19" s="141">
        <f>[12]STA_SP4_ZO!$D$51+[12]STA_SP4_ZO!$E$51</f>
        <v>4191307</v>
      </c>
      <c r="J19" s="133">
        <v>0</v>
      </c>
      <c r="K19" s="137">
        <f t="shared" ref="K19:K24" si="3">C19+D19+G19+I19+J19</f>
        <v>4237401</v>
      </c>
    </row>
    <row r="20" spans="1:11" x14ac:dyDescent="0.25">
      <c r="A20" s="88">
        <v>2</v>
      </c>
      <c r="B20" s="93" t="s">
        <v>32</v>
      </c>
      <c r="C20" s="206">
        <f>[13]STA_SP4_ZO!$C$51</f>
        <v>14473</v>
      </c>
      <c r="D20" s="206">
        <f>[13]STA_SP4_ZO!$F$51</f>
        <v>113257</v>
      </c>
      <c r="E20" s="206">
        <f>[13]STA_SP4_ZO!$G$51</f>
        <v>48147</v>
      </c>
      <c r="F20" s="203">
        <f>[13]STA_SP4_ZO!$H$51</f>
        <v>10262</v>
      </c>
      <c r="G20" s="138">
        <f>[13]STA_SP4_ZO!$J$51+E20+F20</f>
        <v>59163</v>
      </c>
      <c r="H20" s="134">
        <v>0</v>
      </c>
      <c r="I20" s="134">
        <f>[13]STA_SP4_ZO!$D$51+[13]STA_SP4_ZO!$E$51</f>
        <v>3571164</v>
      </c>
      <c r="J20" s="134">
        <v>0</v>
      </c>
      <c r="K20" s="174">
        <f t="shared" si="3"/>
        <v>3758057</v>
      </c>
    </row>
    <row r="21" spans="1:11" x14ac:dyDescent="0.25">
      <c r="A21" s="91">
        <v>3</v>
      </c>
      <c r="B21" s="130" t="s">
        <v>7</v>
      </c>
      <c r="C21" s="133">
        <f>[14]STA_SP4_ZO!$C$51</f>
        <v>6254.78</v>
      </c>
      <c r="D21" s="133">
        <f>[14]STA_SP4_ZO!$F$51</f>
        <v>0</v>
      </c>
      <c r="E21" s="133">
        <f>[14]STA_SP4_ZO!$G$51</f>
        <v>6067.72</v>
      </c>
      <c r="F21" s="204">
        <f>[14]STA_SP4_ZO!$H$51</f>
        <v>12362.8</v>
      </c>
      <c r="G21" s="141">
        <f>[14]STA_SP4_ZO!$J$51+E21+F21</f>
        <v>23308.629999999997</v>
      </c>
      <c r="H21" s="133">
        <v>0</v>
      </c>
      <c r="I21" s="141">
        <f>[14]STA_SP4_ZO!$D$51+[14]STA_SP4_ZO!$E$51</f>
        <v>2135570.81</v>
      </c>
      <c r="J21" s="133">
        <v>0</v>
      </c>
      <c r="K21" s="137">
        <f t="shared" si="3"/>
        <v>2165134.2200000002</v>
      </c>
    </row>
    <row r="22" spans="1:11" x14ac:dyDescent="0.25">
      <c r="A22" s="107">
        <v>4</v>
      </c>
      <c r="B22" s="132" t="s">
        <v>9</v>
      </c>
      <c r="C22" s="135">
        <f>[15]STA_SP4_ZO!$C$51</f>
        <v>6453</v>
      </c>
      <c r="D22" s="135">
        <f>[15]STA_SP4_ZO!$F$51</f>
        <v>0</v>
      </c>
      <c r="E22" s="135">
        <f>[15]STA_SP4_ZO!$G$51</f>
        <v>7339</v>
      </c>
      <c r="F22" s="205">
        <f>[15]STA_SP4_ZO!$H$51</f>
        <v>1748</v>
      </c>
      <c r="G22" s="199">
        <f>E22+F22+[15]STA_SP4_ZO!$J$51</f>
        <v>10041</v>
      </c>
      <c r="H22" s="135">
        <v>0</v>
      </c>
      <c r="I22" s="135">
        <f>[15]STA_SP4_ZO!$D$51+[15]STA_SP4_ZO!$E$51</f>
        <v>1011410</v>
      </c>
      <c r="J22" s="135">
        <v>0</v>
      </c>
      <c r="K22" s="174">
        <f t="shared" si="3"/>
        <v>1027904</v>
      </c>
    </row>
    <row r="23" spans="1:11" s="1" customFormat="1" x14ac:dyDescent="0.25">
      <c r="A23" s="92">
        <v>5</v>
      </c>
      <c r="B23" s="131" t="s">
        <v>4</v>
      </c>
      <c r="C23" s="140">
        <f>[16]STA_SP4_ZO!$C$51</f>
        <v>1026.8</v>
      </c>
      <c r="D23" s="217">
        <f>[16]STA_SP4_ZO!$F$51</f>
        <v>0</v>
      </c>
      <c r="E23" s="140">
        <f>[16]STA_SP4_ZO!$G$51</f>
        <v>2314.36</v>
      </c>
      <c r="F23" s="218">
        <f>[16]STA_SP4_ZO!$H$51</f>
        <v>1867.5</v>
      </c>
      <c r="G23" s="139">
        <f>E23+F23+[16]STA_SP4_ZO!$J$51</f>
        <v>4389.1000000000004</v>
      </c>
      <c r="H23" s="140">
        <v>0</v>
      </c>
      <c r="I23" s="140">
        <f>[16]STA_SP4_ZO!$D$51+[16]STA_SP4_ZO!$E$51</f>
        <v>1128383.7999999998</v>
      </c>
      <c r="J23" s="140">
        <v>0</v>
      </c>
      <c r="K23" s="219">
        <f t="shared" si="3"/>
        <v>1133799.6999999997</v>
      </c>
    </row>
    <row r="24" spans="1:11" s="1" customFormat="1" x14ac:dyDescent="0.25">
      <c r="A24" s="221">
        <v>6</v>
      </c>
      <c r="B24" s="222" t="s">
        <v>95</v>
      </c>
      <c r="C24" s="223">
        <f>[17]STA_SP4_ZO!$C$51</f>
        <v>1200.98</v>
      </c>
      <c r="D24" s="223">
        <f>[17]STA_SP4_ZO!$F$51</f>
        <v>0</v>
      </c>
      <c r="E24" s="223">
        <f>[17]STA_SP4_ZO!$G$51</f>
        <v>0</v>
      </c>
      <c r="F24" s="223">
        <f>[17]STA_SP4_ZO!$H$51</f>
        <v>473.3</v>
      </c>
      <c r="G24" s="223">
        <f>E24+F24+[17]STA_SP4_ZO!$J$51</f>
        <v>475.67</v>
      </c>
      <c r="H24" s="220">
        <v>0</v>
      </c>
      <c r="I24" s="223">
        <f>[17]STA_SP4_ZO!$D$51+[17]STA_SP4_ZO!$E$51</f>
        <v>22917.760000000002</v>
      </c>
      <c r="J24" s="224">
        <v>0</v>
      </c>
      <c r="K24" s="225">
        <f t="shared" si="3"/>
        <v>24594.410000000003</v>
      </c>
    </row>
    <row r="25" spans="1:11" ht="15.75" thickBot="1" x14ac:dyDescent="0.3">
      <c r="A25" s="579" t="s">
        <v>30</v>
      </c>
      <c r="B25" s="580"/>
      <c r="C25" s="285">
        <f t="shared" ref="C25:K25" si="4">C6+C18</f>
        <v>7071366.9400000004</v>
      </c>
      <c r="D25" s="285">
        <f t="shared" si="4"/>
        <v>178388.65</v>
      </c>
      <c r="E25" s="285">
        <f t="shared" si="4"/>
        <v>4061129.8699999996</v>
      </c>
      <c r="F25" s="285">
        <f t="shared" si="4"/>
        <v>3064505.52</v>
      </c>
      <c r="G25" s="286">
        <f t="shared" si="4"/>
        <v>7356274.1500000004</v>
      </c>
      <c r="H25" s="285">
        <f t="shared" si="4"/>
        <v>0</v>
      </c>
      <c r="I25" s="285">
        <f t="shared" si="4"/>
        <v>12060753.369999999</v>
      </c>
      <c r="J25" s="285">
        <f t="shared" si="4"/>
        <v>63794.61</v>
      </c>
      <c r="K25" s="286">
        <f t="shared" si="4"/>
        <v>26730577.719999999</v>
      </c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11">
    <mergeCell ref="A25:B25"/>
    <mergeCell ref="I4:I5"/>
    <mergeCell ref="J4:J5"/>
    <mergeCell ref="K4:K5"/>
    <mergeCell ref="B2:H2"/>
    <mergeCell ref="A4:A5"/>
    <mergeCell ref="B4:B5"/>
    <mergeCell ref="C4:C5"/>
    <mergeCell ref="D4:D5"/>
    <mergeCell ref="E4:G4"/>
    <mergeCell ref="H4:H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F32" sqref="F32"/>
    </sheetView>
  </sheetViews>
  <sheetFormatPr defaultRowHeight="15" x14ac:dyDescent="0.25"/>
  <cols>
    <col min="1" max="1" width="4.28515625" customWidth="1"/>
    <col min="2" max="2" width="27.85546875" customWidth="1"/>
    <col min="3" max="3" width="11" bestFit="1" customWidth="1"/>
    <col min="8" max="8" width="10.42578125" customWidth="1"/>
    <col min="10" max="10" width="10.28515625" bestFit="1" customWidth="1"/>
  </cols>
  <sheetData>
    <row r="1" spans="1:14" ht="23.25" customHeight="1" thickBot="1" x14ac:dyDescent="0.3">
      <c r="A1" s="152"/>
      <c r="B1" s="152"/>
      <c r="C1" s="420" t="s">
        <v>98</v>
      </c>
      <c r="D1" s="421"/>
      <c r="E1" s="421"/>
      <c r="F1" s="421"/>
      <c r="G1" s="421"/>
      <c r="H1" s="421"/>
      <c r="I1" s="421"/>
      <c r="J1" s="2"/>
      <c r="K1" s="2"/>
      <c r="L1" s="2"/>
      <c r="M1" s="2"/>
      <c r="N1" s="8"/>
    </row>
    <row r="2" spans="1:14" ht="15.75" thickBot="1" x14ac:dyDescent="0.3">
      <c r="A2" s="422" t="s">
        <v>0</v>
      </c>
      <c r="B2" s="451" t="s">
        <v>1</v>
      </c>
      <c r="C2" s="452" t="s">
        <v>2</v>
      </c>
      <c r="D2" s="453"/>
      <c r="E2" s="453"/>
      <c r="F2" s="453"/>
      <c r="G2" s="453"/>
      <c r="H2" s="453"/>
      <c r="I2" s="453"/>
      <c r="J2" s="453"/>
      <c r="K2" s="453"/>
      <c r="L2" s="453"/>
      <c r="M2" s="454"/>
      <c r="N2" s="434" t="s">
        <v>3</v>
      </c>
    </row>
    <row r="3" spans="1:14" ht="15.75" thickBot="1" x14ac:dyDescent="0.3">
      <c r="A3" s="423"/>
      <c r="B3" s="425"/>
      <c r="C3" s="228" t="s">
        <v>69</v>
      </c>
      <c r="D3" s="227" t="s">
        <v>4</v>
      </c>
      <c r="E3" s="228" t="s">
        <v>5</v>
      </c>
      <c r="F3" s="167" t="s">
        <v>6</v>
      </c>
      <c r="G3" s="326" t="s">
        <v>8</v>
      </c>
      <c r="H3" s="252" t="s">
        <v>94</v>
      </c>
      <c r="I3" s="326" t="s">
        <v>9</v>
      </c>
      <c r="J3" s="252" t="s">
        <v>10</v>
      </c>
      <c r="K3" s="326" t="s">
        <v>93</v>
      </c>
      <c r="L3" s="252" t="s">
        <v>11</v>
      </c>
      <c r="M3" s="331" t="s">
        <v>96</v>
      </c>
      <c r="N3" s="435"/>
    </row>
    <row r="4" spans="1:14" ht="15.75" thickBot="1" x14ac:dyDescent="0.3">
      <c r="A4" s="5">
        <v>1</v>
      </c>
      <c r="B4" s="9" t="s">
        <v>12</v>
      </c>
      <c r="C4" s="142">
        <f>[1]STA_SP1_NO!$C$10</f>
        <v>103481</v>
      </c>
      <c r="D4" s="145">
        <f>[2]STA_SP1_NO!$C$10</f>
        <v>59306</v>
      </c>
      <c r="E4" s="142">
        <f>[3]STA_SP1_NO!$C$10</f>
        <v>29459</v>
      </c>
      <c r="F4" s="144">
        <f>[4]STA_SP1_NO!$C$10</f>
        <v>161032</v>
      </c>
      <c r="G4" s="318">
        <f>[5]STA_SP1_NO!$C$10</f>
        <v>58937</v>
      </c>
      <c r="H4" s="144">
        <f>[6]STA_SP1_NO!$C$10</f>
        <v>77551</v>
      </c>
      <c r="I4" s="318">
        <f>[7]STA_SP1_NO!$C$10</f>
        <v>111930</v>
      </c>
      <c r="J4" s="144">
        <f>[8]STA_SP1_NO!$C$10</f>
        <v>72556</v>
      </c>
      <c r="K4" s="318">
        <f>[9]STA_SP1_NO!$C$10</f>
        <v>70078</v>
      </c>
      <c r="L4" s="330">
        <f>[10]STA_SP1_NO!$C$10</f>
        <v>131452</v>
      </c>
      <c r="M4" s="332">
        <f>[11]STA_SP1_NO!$C$10</f>
        <v>4305</v>
      </c>
      <c r="N4" s="238">
        <f t="shared" ref="N4:N22" si="0">SUM(C4:M4)</f>
        <v>880087</v>
      </c>
    </row>
    <row r="5" spans="1:14" ht="15.75" thickBot="1" x14ac:dyDescent="0.3">
      <c r="A5" s="4">
        <v>2</v>
      </c>
      <c r="B5" s="10" t="s">
        <v>13</v>
      </c>
      <c r="C5" s="142">
        <f>[1]STA_SP1_NO!$C$20</f>
        <v>1181</v>
      </c>
      <c r="D5" s="145">
        <f>[2]STA_SP1_NO!$C$20</f>
        <v>18987</v>
      </c>
      <c r="E5" s="142">
        <f>[3]STA_SP1_NO!$C$20</f>
        <v>61</v>
      </c>
      <c r="F5" s="144">
        <f>[4]STA_SP1_NO!$C$20</f>
        <v>14668</v>
      </c>
      <c r="G5" s="318">
        <f>[5]STA_SP1_NO!$C$20</f>
        <v>1212</v>
      </c>
      <c r="H5" s="144">
        <f>[6]STA_SP1_NO!$C$20</f>
        <v>0</v>
      </c>
      <c r="I5" s="318">
        <f>[7]STA_SP1_NO!$C$20</f>
        <v>929</v>
      </c>
      <c r="J5" s="144">
        <f>[8]STA_SP1_NO!$C$20</f>
        <v>0</v>
      </c>
      <c r="K5" s="318">
        <f>[9]STA_SP1_NO!$C$20</f>
        <v>10167</v>
      </c>
      <c r="L5" s="330">
        <f>[10]STA_SP1_NO!$C$20</f>
        <v>2054</v>
      </c>
      <c r="M5" s="332">
        <f>[11]STA_SP1_NO!$C$20</f>
        <v>0</v>
      </c>
      <c r="N5" s="239">
        <f t="shared" si="0"/>
        <v>49259</v>
      </c>
    </row>
    <row r="6" spans="1:14" ht="15.75" thickBot="1" x14ac:dyDescent="0.3">
      <c r="A6" s="4">
        <v>3</v>
      </c>
      <c r="B6" s="10" t="s">
        <v>14</v>
      </c>
      <c r="C6" s="142">
        <f>[1]STA_SP1_NO!$C$24</f>
        <v>7366</v>
      </c>
      <c r="D6" s="145">
        <f>[2]STA_SP1_NO!$C$24</f>
        <v>7420</v>
      </c>
      <c r="E6" s="142">
        <f>[3]STA_SP1_NO!$C$24</f>
        <v>11937</v>
      </c>
      <c r="F6" s="144">
        <f>[4]STA_SP1_NO!$C$24</f>
        <v>9118</v>
      </c>
      <c r="G6" s="318">
        <f>[5]STA_SP1_NO!$C$24</f>
        <v>5633</v>
      </c>
      <c r="H6" s="144">
        <f>[6]STA_SP1_NO!$C$24</f>
        <v>1354</v>
      </c>
      <c r="I6" s="318">
        <f>[7]STA_SP1_NO!$C$24</f>
        <v>4222</v>
      </c>
      <c r="J6" s="144">
        <f>[8]STA_SP1_NO!$C$24</f>
        <v>6383</v>
      </c>
      <c r="K6" s="318">
        <f>[9]STA_SP1_NO!$C$24</f>
        <v>4852</v>
      </c>
      <c r="L6" s="330">
        <f>[10]STA_SP1_NO!$C$24</f>
        <v>4844</v>
      </c>
      <c r="M6" s="332">
        <f>[11]STA_SP1_NO!$C$24</f>
        <v>128</v>
      </c>
      <c r="N6" s="240">
        <f t="shared" si="0"/>
        <v>63257</v>
      </c>
    </row>
    <row r="7" spans="1:14" ht="15.75" thickBot="1" x14ac:dyDescent="0.3">
      <c r="A7" s="4">
        <v>4</v>
      </c>
      <c r="B7" s="10" t="s">
        <v>15</v>
      </c>
      <c r="C7" s="142">
        <f>[1]STA_SP1_NO!$C$27</f>
        <v>0</v>
      </c>
      <c r="D7" s="145">
        <f>[2]STA_SP1_NO!$C$27</f>
        <v>0</v>
      </c>
      <c r="E7" s="142">
        <f>[3]STA_SP1_NO!$C$27</f>
        <v>0</v>
      </c>
      <c r="F7" s="144">
        <f>[4]STA_SP1_NO!$C$27</f>
        <v>0</v>
      </c>
      <c r="G7" s="318">
        <f>[5]STA_SP1_NO!$C$27</f>
        <v>0</v>
      </c>
      <c r="H7" s="144">
        <f>[6]STA_SP1_NO!$C$27</f>
        <v>0</v>
      </c>
      <c r="I7" s="318">
        <f>[7]STA_SP1_NO!$C$27</f>
        <v>0</v>
      </c>
      <c r="J7" s="144">
        <f>[8]STA_SP1_NO!$C$27</f>
        <v>0</v>
      </c>
      <c r="K7" s="318">
        <f>[9]STA_SP1_NO!$C$27</f>
        <v>0</v>
      </c>
      <c r="L7" s="330">
        <f>[10]STA_SP1_NO!$C$27</f>
        <v>0</v>
      </c>
      <c r="M7" s="332">
        <f>[11]STA_SP1_NO!$C$27</f>
        <v>0</v>
      </c>
      <c r="N7" s="239">
        <f t="shared" si="0"/>
        <v>0</v>
      </c>
    </row>
    <row r="8" spans="1:14" ht="15.75" thickBot="1" x14ac:dyDescent="0.3">
      <c r="A8" s="4">
        <v>5</v>
      </c>
      <c r="B8" s="10" t="s">
        <v>16</v>
      </c>
      <c r="C8" s="142">
        <f>[1]STA_SP1_NO!$C$30</f>
        <v>0</v>
      </c>
      <c r="D8" s="145">
        <f>[2]STA_SP1_NO!$C$30</f>
        <v>0</v>
      </c>
      <c r="E8" s="142">
        <f>[3]STA_SP1_NO!$C$30</f>
        <v>0</v>
      </c>
      <c r="F8" s="144">
        <f>[4]STA_SP1_NO!$C$30</f>
        <v>0</v>
      </c>
      <c r="G8" s="318">
        <f>[5]STA_SP1_NO!$C$30</f>
        <v>6</v>
      </c>
      <c r="H8" s="144">
        <f>[6]STA_SP1_NO!$C$30</f>
        <v>0</v>
      </c>
      <c r="I8" s="318">
        <f>[7]STA_SP1_NO!$C$30</f>
        <v>1</v>
      </c>
      <c r="J8" s="144">
        <f>[8]STA_SP1_NO!$C$30</f>
        <v>5</v>
      </c>
      <c r="K8" s="318">
        <f>[9]STA_SP1_NO!$C$30</f>
        <v>0</v>
      </c>
      <c r="L8" s="330">
        <f>[10]STA_SP1_NO!$C$30</f>
        <v>2</v>
      </c>
      <c r="M8" s="332">
        <f>[11]STA_SP1_NO!$C$30</f>
        <v>0</v>
      </c>
      <c r="N8" s="239">
        <f t="shared" si="0"/>
        <v>14</v>
      </c>
    </row>
    <row r="9" spans="1:14" ht="15.75" thickBot="1" x14ac:dyDescent="0.3">
      <c r="A9" s="4">
        <v>6</v>
      </c>
      <c r="B9" s="10" t="s">
        <v>17</v>
      </c>
      <c r="C9" s="142">
        <f>[1]STA_SP1_NO!$C$33</f>
        <v>6</v>
      </c>
      <c r="D9" s="145">
        <f>[2]STA_SP1_NO!$C$33</f>
        <v>4</v>
      </c>
      <c r="E9" s="142">
        <f>[3]STA_SP1_NO!$C$33</f>
        <v>1</v>
      </c>
      <c r="F9" s="144">
        <f>[4]STA_SP1_NO!$C$33</f>
        <v>23</v>
      </c>
      <c r="G9" s="318">
        <f>[5]STA_SP1_NO!$C$33</f>
        <v>1</v>
      </c>
      <c r="H9" s="144">
        <f>[6]STA_SP1_NO!$C$33</f>
        <v>0</v>
      </c>
      <c r="I9" s="318">
        <f>[7]STA_SP1_NO!$C$33</f>
        <v>3</v>
      </c>
      <c r="J9" s="144">
        <f>[8]STA_SP1_NO!$C$33</f>
        <v>15</v>
      </c>
      <c r="K9" s="318">
        <f>[9]STA_SP1_NO!$C$33</f>
        <v>3</v>
      </c>
      <c r="L9" s="330">
        <f>[10]STA_SP1_NO!$C$33</f>
        <v>0</v>
      </c>
      <c r="M9" s="332">
        <f>[11]STA_SP1_NO!$C$33</f>
        <v>0</v>
      </c>
      <c r="N9" s="239">
        <f t="shared" si="0"/>
        <v>56</v>
      </c>
    </row>
    <row r="10" spans="1:14" ht="15.75" thickBot="1" x14ac:dyDescent="0.3">
      <c r="A10" s="4">
        <v>7</v>
      </c>
      <c r="B10" s="10" t="s">
        <v>18</v>
      </c>
      <c r="C10" s="142">
        <f>[1]STA_SP1_NO!$C$36</f>
        <v>210</v>
      </c>
      <c r="D10" s="145">
        <f>[2]STA_SP1_NO!$C$36</f>
        <v>745</v>
      </c>
      <c r="E10" s="142">
        <f>[3]STA_SP1_NO!$C$36</f>
        <v>310</v>
      </c>
      <c r="F10" s="144">
        <f>[4]STA_SP1_NO!$C$36</f>
        <v>274</v>
      </c>
      <c r="G10" s="318">
        <f>[5]STA_SP1_NO!$C$36</f>
        <v>574</v>
      </c>
      <c r="H10" s="144">
        <f>[6]STA_SP1_NO!$C$36</f>
        <v>0</v>
      </c>
      <c r="I10" s="318">
        <f>[7]STA_SP1_NO!$C$36</f>
        <v>186</v>
      </c>
      <c r="J10" s="144">
        <f>[8]STA_SP1_NO!$C$36</f>
        <v>191</v>
      </c>
      <c r="K10" s="318">
        <f>[9]STA_SP1_NO!$C$36</f>
        <v>237</v>
      </c>
      <c r="L10" s="330">
        <f>[10]STA_SP1_NO!$C$36</f>
        <v>28</v>
      </c>
      <c r="M10" s="332">
        <f>[11]STA_SP1_NO!$C$36</f>
        <v>0</v>
      </c>
      <c r="N10" s="239">
        <f t="shared" si="0"/>
        <v>2755</v>
      </c>
    </row>
    <row r="11" spans="1:14" ht="15.75" thickBot="1" x14ac:dyDescent="0.3">
      <c r="A11" s="4">
        <v>8</v>
      </c>
      <c r="B11" s="10" t="s">
        <v>19</v>
      </c>
      <c r="C11" s="142">
        <f>[1]STA_SP1_NO!$C$40</f>
        <v>16505</v>
      </c>
      <c r="D11" s="145">
        <f>[2]STA_SP1_NO!$C$40</f>
        <v>22257</v>
      </c>
      <c r="E11" s="142">
        <f>[3]STA_SP1_NO!$C$40</f>
        <v>6301</v>
      </c>
      <c r="F11" s="144">
        <f>[4]STA_SP1_NO!$C$40</f>
        <v>28847</v>
      </c>
      <c r="G11" s="318">
        <f>[5]STA_SP1_NO!$C$40</f>
        <v>14781</v>
      </c>
      <c r="H11" s="144">
        <f>[6]STA_SP1_NO!$C$40</f>
        <v>1195</v>
      </c>
      <c r="I11" s="318">
        <f>[7]STA_SP1_NO!$C$40</f>
        <v>5820</v>
      </c>
      <c r="J11" s="144">
        <f>[8]STA_SP1_NO!$C$40</f>
        <v>8158</v>
      </c>
      <c r="K11" s="318">
        <f>[9]STA_SP1_NO!$C$40</f>
        <v>11923</v>
      </c>
      <c r="L11" s="330">
        <f>[10]STA_SP1_NO!$C$40</f>
        <v>23201</v>
      </c>
      <c r="M11" s="332">
        <f>[11]STA_SP1_NO!$C$40</f>
        <v>30</v>
      </c>
      <c r="N11" s="240">
        <f t="shared" si="0"/>
        <v>139018</v>
      </c>
    </row>
    <row r="12" spans="1:14" ht="15.75" thickBot="1" x14ac:dyDescent="0.3">
      <c r="A12" s="4">
        <v>9</v>
      </c>
      <c r="B12" s="10" t="s">
        <v>20</v>
      </c>
      <c r="C12" s="142">
        <f>[1]STA_SP1_NO!$C$56</f>
        <v>18032</v>
      </c>
      <c r="D12" s="145">
        <f>[2]STA_SP1_NO!$C$56</f>
        <v>25960</v>
      </c>
      <c r="E12" s="142">
        <f>[3]STA_SP1_NO!$C$56</f>
        <v>2202</v>
      </c>
      <c r="F12" s="144">
        <f>[4]STA_SP1_NO!$C$56</f>
        <v>49487</v>
      </c>
      <c r="G12" s="318">
        <f>[5]STA_SP1_NO!$C$56</f>
        <v>12851</v>
      </c>
      <c r="H12" s="144">
        <f>[6]STA_SP1_NO!$C$56</f>
        <v>767</v>
      </c>
      <c r="I12" s="318">
        <f>[7]STA_SP1_NO!$C$56</f>
        <v>3143</v>
      </c>
      <c r="J12" s="144">
        <f>[8]STA_SP1_NO!$C$56</f>
        <v>3944</v>
      </c>
      <c r="K12" s="318">
        <f>[9]STA_SP1_NO!$C$56</f>
        <v>12316</v>
      </c>
      <c r="L12" s="330">
        <f>[10]STA_SP1_NO!$C$56</f>
        <v>21380</v>
      </c>
      <c r="M12" s="332">
        <f>[11]STA_SP1_NO!$C$56</f>
        <v>22</v>
      </c>
      <c r="N12" s="240">
        <f t="shared" si="0"/>
        <v>150104</v>
      </c>
    </row>
    <row r="13" spans="1:14" ht="15.75" thickBot="1" x14ac:dyDescent="0.3">
      <c r="A13" s="4">
        <v>10</v>
      </c>
      <c r="B13" s="10" t="s">
        <v>21</v>
      </c>
      <c r="C13" s="142">
        <f>[1]STA_SP1_NO!$C$88</f>
        <v>152293</v>
      </c>
      <c r="D13" s="145">
        <f>[2]STA_SP1_NO!$C$88</f>
        <v>86034</v>
      </c>
      <c r="E13" s="142">
        <f>[3]STA_SP1_NO!$C$88</f>
        <v>90229</v>
      </c>
      <c r="F13" s="144">
        <f>[4]STA_SP1_NO!$C$88</f>
        <v>95711</v>
      </c>
      <c r="G13" s="318">
        <f>[5]STA_SP1_NO!$C$88</f>
        <v>90383</v>
      </c>
      <c r="H13" s="144">
        <f>[6]STA_SP1_NO!$C$88</f>
        <v>130391</v>
      </c>
      <c r="I13" s="318">
        <f>[7]STA_SP1_NO!$C$88</f>
        <v>196980</v>
      </c>
      <c r="J13" s="144">
        <f>[8]STA_SP1_NO!$C$88</f>
        <v>109750</v>
      </c>
      <c r="K13" s="318">
        <f>[9]STA_SP1_NO!$C$88</f>
        <v>69296</v>
      </c>
      <c r="L13" s="330">
        <f>[10]STA_SP1_NO!$C$88</f>
        <v>130431</v>
      </c>
      <c r="M13" s="332">
        <f>[11]STA_SP1_NO!$C$88</f>
        <v>7460</v>
      </c>
      <c r="N13" s="240">
        <f t="shared" si="0"/>
        <v>1158958</v>
      </c>
    </row>
    <row r="14" spans="1:14" ht="15.75" thickBot="1" x14ac:dyDescent="0.3">
      <c r="A14" s="4">
        <v>11</v>
      </c>
      <c r="B14" s="10" t="s">
        <v>22</v>
      </c>
      <c r="C14" s="142">
        <f>[1]STA_SP1_NO!$C$124</f>
        <v>11</v>
      </c>
      <c r="D14" s="145">
        <f>[2]STA_SP1_NO!$C$124</f>
        <v>184</v>
      </c>
      <c r="E14" s="142">
        <f>[3]STA_SP1_NO!$C$124</f>
        <v>0</v>
      </c>
      <c r="F14" s="144">
        <f>[4]STA_SP1_NO!$C$124</f>
        <v>0</v>
      </c>
      <c r="G14" s="318">
        <f>[5]STA_SP1_NO!$C$124</f>
        <v>6</v>
      </c>
      <c r="H14" s="144">
        <f>[6]STA_SP1_NO!$C$124</f>
        <v>0</v>
      </c>
      <c r="I14" s="318">
        <f>[7]STA_SP1_NO!$C$124</f>
        <v>1</v>
      </c>
      <c r="J14" s="144">
        <f>[8]STA_SP1_NO!$C$124</f>
        <v>70</v>
      </c>
      <c r="K14" s="318">
        <f>[9]STA_SP1_NO!$C$124</f>
        <v>0</v>
      </c>
      <c r="L14" s="330">
        <f>[10]STA_SP1_NO!$C$124</f>
        <v>3</v>
      </c>
      <c r="M14" s="332">
        <f>[11]STA_SP1_NO!$C$124</f>
        <v>0</v>
      </c>
      <c r="N14" s="239">
        <f t="shared" si="0"/>
        <v>275</v>
      </c>
    </row>
    <row r="15" spans="1:14" ht="15.75" thickBot="1" x14ac:dyDescent="0.3">
      <c r="A15" s="4">
        <v>12</v>
      </c>
      <c r="B15" s="10" t="s">
        <v>23</v>
      </c>
      <c r="C15" s="142">
        <f>[1]STA_SP1_NO!$C$128</f>
        <v>196</v>
      </c>
      <c r="D15" s="145">
        <f>[2]STA_SP1_NO!$C$128</f>
        <v>55</v>
      </c>
      <c r="E15" s="142">
        <f>[3]STA_SP1_NO!$C$128</f>
        <v>32</v>
      </c>
      <c r="F15" s="144">
        <f>[4]STA_SP1_NO!$C$128</f>
        <v>324</v>
      </c>
      <c r="G15" s="318">
        <f>[5]STA_SP1_NO!$C$128</f>
        <v>249</v>
      </c>
      <c r="H15" s="144">
        <f>[6]STA_SP1_NO!$C$128</f>
        <v>0</v>
      </c>
      <c r="I15" s="318">
        <f>[7]STA_SP1_NO!$C$128</f>
        <v>171</v>
      </c>
      <c r="J15" s="144">
        <f>[8]STA_SP1_NO!$C$128</f>
        <v>234</v>
      </c>
      <c r="K15" s="318">
        <f>[9]STA_SP1_NO!$C$128</f>
        <v>108</v>
      </c>
      <c r="L15" s="330">
        <f>[10]STA_SP1_NO!$C$128</f>
        <v>53</v>
      </c>
      <c r="M15" s="332">
        <f>[11]STA_SP1_NO!$C$128</f>
        <v>0</v>
      </c>
      <c r="N15" s="239">
        <f t="shared" si="0"/>
        <v>1422</v>
      </c>
    </row>
    <row r="16" spans="1:14" ht="15.75" thickBot="1" x14ac:dyDescent="0.3">
      <c r="A16" s="4">
        <v>13</v>
      </c>
      <c r="B16" s="10" t="s">
        <v>24</v>
      </c>
      <c r="C16" s="142">
        <f>[1]STA_SP1_NO!$C$132</f>
        <v>6390</v>
      </c>
      <c r="D16" s="145">
        <f>[2]STA_SP1_NO!$C$132</f>
        <v>9622</v>
      </c>
      <c r="E16" s="142">
        <f>[3]STA_SP1_NO!$C$132</f>
        <v>1565</v>
      </c>
      <c r="F16" s="144">
        <f>[4]STA_SP1_NO!$C$132</f>
        <v>18410</v>
      </c>
      <c r="G16" s="318">
        <f>[5]STA_SP1_NO!$C$132</f>
        <v>14414</v>
      </c>
      <c r="H16" s="144">
        <f>[6]STA_SP1_NO!$C$132</f>
        <v>400</v>
      </c>
      <c r="I16" s="318">
        <f>[7]STA_SP1_NO!$C$132</f>
        <v>2767</v>
      </c>
      <c r="J16" s="144">
        <f>[8]STA_SP1_NO!$C$132</f>
        <v>4799</v>
      </c>
      <c r="K16" s="318">
        <f>[9]STA_SP1_NO!$C$132</f>
        <v>3977</v>
      </c>
      <c r="L16" s="330">
        <f>[10]STA_SP1_NO!$C$132</f>
        <v>21042</v>
      </c>
      <c r="M16" s="332">
        <f>[11]STA_SP1_NO!$C$132</f>
        <v>22</v>
      </c>
      <c r="N16" s="239">
        <f t="shared" si="0"/>
        <v>83408</v>
      </c>
    </row>
    <row r="17" spans="1:14" ht="15.75" thickBot="1" x14ac:dyDescent="0.3">
      <c r="A17" s="4">
        <v>14</v>
      </c>
      <c r="B17" s="10" t="s">
        <v>25</v>
      </c>
      <c r="C17" s="142">
        <f>[1]STA_SP1_NO!$C$153</f>
        <v>1855</v>
      </c>
      <c r="D17" s="145">
        <f>[2]STA_SP1_NO!$C$153</f>
        <v>12106</v>
      </c>
      <c r="E17" s="142">
        <f>[3]STA_SP1_NO!$C$153</f>
        <v>53</v>
      </c>
      <c r="F17" s="144">
        <f>[4]STA_SP1_NO!$C$153</f>
        <v>46</v>
      </c>
      <c r="G17" s="318">
        <f>[5]STA_SP1_NO!$C$153</f>
        <v>0</v>
      </c>
      <c r="H17" s="144">
        <f>[6]STA_SP1_NO!$C$153</f>
        <v>0</v>
      </c>
      <c r="I17" s="318">
        <f>[7]STA_SP1_NO!$C$153</f>
        <v>0</v>
      </c>
      <c r="J17" s="144">
        <f>[8]STA_SP1_NO!$C$153</f>
        <v>0</v>
      </c>
      <c r="K17" s="318">
        <f>[9]STA_SP1_NO!$C$153</f>
        <v>5156</v>
      </c>
      <c r="L17" s="330">
        <f>[10]STA_SP1_NO!$C$153</f>
        <v>1162</v>
      </c>
      <c r="M17" s="332">
        <f>[11]STA_SP1_NO!$C$153</f>
        <v>0</v>
      </c>
      <c r="N17" s="239">
        <f t="shared" si="0"/>
        <v>20378</v>
      </c>
    </row>
    <row r="18" spans="1:14" ht="15.75" thickBot="1" x14ac:dyDescent="0.3">
      <c r="A18" s="4">
        <v>15</v>
      </c>
      <c r="B18" s="10" t="s">
        <v>26</v>
      </c>
      <c r="C18" s="142">
        <f>[1]STA_SP1_NO!$C$158</f>
        <v>0</v>
      </c>
      <c r="D18" s="145">
        <f>[2]STA_SP1_NO!$C$158</f>
        <v>0</v>
      </c>
      <c r="E18" s="142">
        <f>[3]STA_SP1_NO!$C$158</f>
        <v>8</v>
      </c>
      <c r="F18" s="144">
        <f>[4]STA_SP1_NO!$C$158</f>
        <v>0</v>
      </c>
      <c r="G18" s="318">
        <f>[5]STA_SP1_NO!$C$158</f>
        <v>41</v>
      </c>
      <c r="H18" s="144">
        <f>[6]STA_SP1_NO!$C$158</f>
        <v>0</v>
      </c>
      <c r="I18" s="318">
        <f>[7]STA_SP1_NO!$C$158</f>
        <v>0</v>
      </c>
      <c r="J18" s="144">
        <f>[8]STA_SP1_NO!$C$158</f>
        <v>0</v>
      </c>
      <c r="K18" s="318">
        <f>[9]STA_SP1_NO!$C$158</f>
        <v>5</v>
      </c>
      <c r="L18" s="330">
        <f>[10]STA_SP1_NO!$C$158</f>
        <v>0</v>
      </c>
      <c r="M18" s="332">
        <f>[11]STA_SP1_NO!$C$158</f>
        <v>0</v>
      </c>
      <c r="N18" s="239">
        <f t="shared" si="0"/>
        <v>54</v>
      </c>
    </row>
    <row r="19" spans="1:14" ht="15.75" thickBot="1" x14ac:dyDescent="0.3">
      <c r="A19" s="4">
        <v>16</v>
      </c>
      <c r="B19" s="10" t="s">
        <v>27</v>
      </c>
      <c r="C19" s="142">
        <f>[1]STA_SP1_NO!$C$161</f>
        <v>32</v>
      </c>
      <c r="D19" s="145">
        <f>[2]STA_SP1_NO!$C$161</f>
        <v>55</v>
      </c>
      <c r="E19" s="142">
        <f>[3]STA_SP1_NO!$C$161</f>
        <v>8</v>
      </c>
      <c r="F19" s="144">
        <f>[4]STA_SP1_NO!$C$161</f>
        <v>322</v>
      </c>
      <c r="G19" s="318">
        <f>[5]STA_SP1_NO!$C$161</f>
        <v>975</v>
      </c>
      <c r="H19" s="144">
        <f>[6]STA_SP1_NO!$C$161</f>
        <v>0</v>
      </c>
      <c r="I19" s="318">
        <f>[7]STA_SP1_NO!$C$161</f>
        <v>25</v>
      </c>
      <c r="J19" s="144">
        <f>[8]STA_SP1_NO!$C$161</f>
        <v>0</v>
      </c>
      <c r="K19" s="318">
        <f>[9]STA_SP1_NO!$C$161</f>
        <v>37</v>
      </c>
      <c r="L19" s="330">
        <f>[10]STA_SP1_NO!$C$161</f>
        <v>17</v>
      </c>
      <c r="M19" s="332">
        <f>[11]STA_SP1_NO!$C$161</f>
        <v>0</v>
      </c>
      <c r="N19" s="239">
        <f t="shared" si="0"/>
        <v>1471</v>
      </c>
    </row>
    <row r="20" spans="1:14" ht="15.75" thickBot="1" x14ac:dyDescent="0.3">
      <c r="A20" s="4">
        <v>17</v>
      </c>
      <c r="B20" s="10" t="s">
        <v>28</v>
      </c>
      <c r="C20" s="142">
        <f>[1]STA_SP1_NO!$C$167</f>
        <v>0</v>
      </c>
      <c r="D20" s="145">
        <f>[2]STA_SP1_NO!$C$167</f>
        <v>0</v>
      </c>
      <c r="E20" s="142">
        <f>[3]STA_SP1_NO!$C$167</f>
        <v>0</v>
      </c>
      <c r="F20" s="144">
        <f>[4]STA_SP1_NO!$C$167</f>
        <v>0</v>
      </c>
      <c r="G20" s="318">
        <f>[5]STA_SP1_NO!$C$167</f>
        <v>0</v>
      </c>
      <c r="H20" s="144">
        <f>[6]STA_SP1_NO!$C$167</f>
        <v>0</v>
      </c>
      <c r="I20" s="318">
        <f>[7]STA_SP1_NO!$C$167</f>
        <v>0</v>
      </c>
      <c r="J20" s="144">
        <f>[8]STA_SP1_NO!$C$167</f>
        <v>0</v>
      </c>
      <c r="K20" s="318">
        <f>[9]STA_SP1_NO!$C$167</f>
        <v>0</v>
      </c>
      <c r="L20" s="330">
        <f>[10]STA_SP1_NO!$C$167</f>
        <v>1</v>
      </c>
      <c r="M20" s="332">
        <f>[11]STA_SP1_NO!$C$167</f>
        <v>0</v>
      </c>
      <c r="N20" s="239">
        <f t="shared" si="0"/>
        <v>1</v>
      </c>
    </row>
    <row r="21" spans="1:14" ht="15.75" thickBot="1" x14ac:dyDescent="0.3">
      <c r="A21" s="6">
        <v>18</v>
      </c>
      <c r="B21" s="11" t="s">
        <v>29</v>
      </c>
      <c r="C21" s="142">
        <f>[1]STA_SP1_NO!$C$170</f>
        <v>38095</v>
      </c>
      <c r="D21" s="145">
        <f>[2]STA_SP1_NO!$C$170</f>
        <v>119672</v>
      </c>
      <c r="E21" s="142">
        <f>[3]STA_SP1_NO!$C$170</f>
        <v>18799</v>
      </c>
      <c r="F21" s="144">
        <f>[4]STA_SP1_NO!$C$170</f>
        <v>96584</v>
      </c>
      <c r="G21" s="318">
        <f>[5]STA_SP1_NO!$C$170</f>
        <v>111509</v>
      </c>
      <c r="H21" s="144">
        <f>[6]STA_SP1_NO!$C$170</f>
        <v>11386</v>
      </c>
      <c r="I21" s="318">
        <f>[7]STA_SP1_NO!$C$170</f>
        <v>52305</v>
      </c>
      <c r="J21" s="144">
        <f>[8]STA_SP1_NO!$C$170</f>
        <v>34160</v>
      </c>
      <c r="K21" s="318">
        <f>[9]STA_SP1_NO!$C$170</f>
        <v>23216</v>
      </c>
      <c r="L21" s="144">
        <f>[10]STA_SP1_NO!$C$170</f>
        <v>40484</v>
      </c>
      <c r="M21" s="332">
        <f>[11]STA_SP1_NO!$C$170</f>
        <v>186</v>
      </c>
      <c r="N21" s="241">
        <f t="shared" si="0"/>
        <v>546396</v>
      </c>
    </row>
    <row r="22" spans="1:14" ht="15.75" thickBot="1" x14ac:dyDescent="0.3">
      <c r="A22" s="7"/>
      <c r="B22" s="19" t="s">
        <v>30</v>
      </c>
      <c r="C22" s="111">
        <f>[1]STA_SP1_NO!$C$175</f>
        <v>225876</v>
      </c>
      <c r="D22" s="112">
        <f>[2]STA_SP1_NO!$C$175</f>
        <v>270723</v>
      </c>
      <c r="E22" s="113">
        <f>[3]STA_SP1_NO!$C$175</f>
        <v>129261</v>
      </c>
      <c r="F22" s="325">
        <f>[4]STA_SP1_NO!$C$175</f>
        <v>274217</v>
      </c>
      <c r="G22" s="327">
        <f>[5]STA_SP1_NO!$C$175</f>
        <v>226430</v>
      </c>
      <c r="H22" s="325">
        <f>[6]STA_SP1_NO!$C$175</f>
        <v>144082</v>
      </c>
      <c r="I22" s="327">
        <f>[7]STA_SP1_NO!$C$175</f>
        <v>260296</v>
      </c>
      <c r="J22" s="325">
        <f>[8]STA_SP1_NO!$C$175</f>
        <v>162390</v>
      </c>
      <c r="K22" s="327">
        <f>[9]STA_SP1_NO!$C$175</f>
        <v>151742</v>
      </c>
      <c r="L22" s="325">
        <f>[10]STA_SP1_NO!$C$175</f>
        <v>251074</v>
      </c>
      <c r="M22" s="333">
        <f>[11]STA_SP1_NO!$C$175</f>
        <v>7808</v>
      </c>
      <c r="N22" s="242">
        <f t="shared" si="0"/>
        <v>2103899</v>
      </c>
    </row>
    <row r="23" spans="1:14" ht="15.75" thickBot="1" x14ac:dyDescent="0.3">
      <c r="A23" s="13"/>
      <c r="B23" s="18"/>
      <c r="C23" s="14"/>
      <c r="D23" s="16"/>
      <c r="E23" s="15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75" thickBot="1" x14ac:dyDescent="0.3">
      <c r="A24" s="427" t="s">
        <v>31</v>
      </c>
      <c r="B24" s="428"/>
      <c r="C24" s="23">
        <f>C22/N22</f>
        <v>0.10736066702821762</v>
      </c>
      <c r="D24" s="24">
        <f>D22/N22</f>
        <v>0.12867680435230019</v>
      </c>
      <c r="E24" s="25">
        <f>E22/N22</f>
        <v>6.1438785797226961E-2</v>
      </c>
      <c r="F24" s="329">
        <f>F22/N22</f>
        <v>0.13033753046130067</v>
      </c>
      <c r="G24" s="328">
        <f>G22/N22</f>
        <v>0.10762398765339971</v>
      </c>
      <c r="H24" s="329">
        <f>H22/N22</f>
        <v>6.8483325482829732E-2</v>
      </c>
      <c r="I24" s="328">
        <f>I22/N22</f>
        <v>0.12372076796462188</v>
      </c>
      <c r="J24" s="329">
        <f>J22/N22</f>
        <v>7.7185264121519145E-2</v>
      </c>
      <c r="K24" s="328">
        <f>K22/N22</f>
        <v>7.2124184668560617E-2</v>
      </c>
      <c r="L24" s="329">
        <f>L22/N22</f>
        <v>0.11933747770211403</v>
      </c>
      <c r="M24" s="334">
        <f>M22/N22</f>
        <v>3.7112047679094861E-3</v>
      </c>
      <c r="N24" s="245">
        <f>SUM(C24:M24)</f>
        <v>1</v>
      </c>
    </row>
    <row r="25" spans="1:14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5.75" thickBot="1" x14ac:dyDescent="0.3">
      <c r="A26" s="422" t="s">
        <v>0</v>
      </c>
      <c r="B26" s="424" t="s">
        <v>1</v>
      </c>
      <c r="C26" s="448" t="s">
        <v>90</v>
      </c>
      <c r="D26" s="449"/>
      <c r="E26" s="449"/>
      <c r="F26" s="449"/>
      <c r="G26" s="449"/>
      <c r="H26" s="450"/>
      <c r="I26" s="446" t="s">
        <v>3</v>
      </c>
      <c r="J26" s="1"/>
      <c r="K26" s="1"/>
      <c r="L26" s="1"/>
      <c r="M26" s="1"/>
      <c r="N26" s="1"/>
    </row>
    <row r="27" spans="1:14" ht="15.75" thickBot="1" x14ac:dyDescent="0.3">
      <c r="A27" s="423"/>
      <c r="B27" s="426"/>
      <c r="C27" s="180" t="s">
        <v>11</v>
      </c>
      <c r="D27" s="181" t="s">
        <v>32</v>
      </c>
      <c r="E27" s="180" t="s">
        <v>7</v>
      </c>
      <c r="F27" s="181" t="s">
        <v>9</v>
      </c>
      <c r="G27" s="182" t="s">
        <v>4</v>
      </c>
      <c r="H27" s="211" t="s">
        <v>95</v>
      </c>
      <c r="I27" s="447"/>
      <c r="J27" s="81"/>
      <c r="K27" s="436" t="s">
        <v>33</v>
      </c>
      <c r="L27" s="437"/>
      <c r="M27" s="232">
        <f>N22</f>
        <v>2103899</v>
      </c>
      <c r="N27" s="233">
        <f>M27/M29</f>
        <v>0.98407121949302934</v>
      </c>
    </row>
    <row r="28" spans="1:14" ht="15.75" thickBot="1" x14ac:dyDescent="0.3">
      <c r="A28" s="22">
        <v>19</v>
      </c>
      <c r="B28" s="80" t="s">
        <v>34</v>
      </c>
      <c r="C28" s="187">
        <f>[12]STA_SP1_ZO!$I$51</f>
        <v>5883</v>
      </c>
      <c r="D28" s="209">
        <f>[13]STA_SP1_ZO!$I$51</f>
        <v>1558</v>
      </c>
      <c r="E28" s="187">
        <f>[14]STA_SP1_ZO!$I$51</f>
        <v>2175</v>
      </c>
      <c r="F28" s="186">
        <f>[15]STA_SP1_ZO!$I$51</f>
        <v>17533</v>
      </c>
      <c r="G28" s="187">
        <f>[16]STA_SP1_ZO!$I$51</f>
        <v>5872</v>
      </c>
      <c r="H28" s="212">
        <f>[17]STA_SP1_ZO!$I$51</f>
        <v>1034</v>
      </c>
      <c r="I28" s="243">
        <f>SUM(C28:H28)</f>
        <v>34055</v>
      </c>
      <c r="J28" s="81"/>
      <c r="K28" s="436" t="s">
        <v>34</v>
      </c>
      <c r="L28" s="437"/>
      <c r="M28" s="234">
        <f>I28</f>
        <v>34055</v>
      </c>
      <c r="N28" s="235">
        <f>M28/M29</f>
        <v>1.5928780506970684E-2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44" t="s">
        <v>3</v>
      </c>
      <c r="L29" s="445"/>
      <c r="M29" s="236">
        <f>M27+M28</f>
        <v>2137954</v>
      </c>
      <c r="N29" s="237">
        <f>M29/M29</f>
        <v>1</v>
      </c>
    </row>
    <row r="30" spans="1:14" ht="15.75" thickBot="1" x14ac:dyDescent="0.3">
      <c r="A30" s="427" t="s">
        <v>35</v>
      </c>
      <c r="B30" s="428"/>
      <c r="C30" s="23">
        <f>C28/I28</f>
        <v>0.17274996329467038</v>
      </c>
      <c r="D30" s="82">
        <f>D28/I28</f>
        <v>4.5749522830715018E-2</v>
      </c>
      <c r="E30" s="23">
        <f>E28/I28</f>
        <v>6.3867273528116289E-2</v>
      </c>
      <c r="F30" s="82">
        <f>F28/I28</f>
        <v>0.51484363529584498</v>
      </c>
      <c r="G30" s="23">
        <f>G28/I28</f>
        <v>0.17242695639406841</v>
      </c>
      <c r="H30" s="82">
        <f>H28/I28</f>
        <v>3.0362648656584935E-2</v>
      </c>
      <c r="I30" s="231">
        <f>I28/I28</f>
        <v>1</v>
      </c>
      <c r="J30" s="1"/>
      <c r="K30" s="1"/>
      <c r="L30" s="1"/>
      <c r="M30" s="1"/>
      <c r="N30" s="1"/>
    </row>
  </sheetData>
  <mergeCells count="14">
    <mergeCell ref="N2:N3"/>
    <mergeCell ref="A24:B24"/>
    <mergeCell ref="C1:I1"/>
    <mergeCell ref="A2:A3"/>
    <mergeCell ref="B2:B3"/>
    <mergeCell ref="C2:M2"/>
    <mergeCell ref="K28:L28"/>
    <mergeCell ref="K29:L29"/>
    <mergeCell ref="A30:B30"/>
    <mergeCell ref="A26:A27"/>
    <mergeCell ref="B26:B27"/>
    <mergeCell ref="K27:L27"/>
    <mergeCell ref="I26:I27"/>
    <mergeCell ref="C26:H26"/>
  </mergeCells>
  <pageMargins left="0.25" right="0.25" top="0.75" bottom="0.75" header="0.3" footer="0.3"/>
  <pageSetup paperSize="9" scale="9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workbookViewId="0">
      <selection activeCell="G23" sqref="G23"/>
    </sheetView>
  </sheetViews>
  <sheetFormatPr defaultRowHeight="15" x14ac:dyDescent="0.25"/>
  <cols>
    <col min="3" max="3" width="15" customWidth="1"/>
    <col min="4" max="4" width="17.28515625" customWidth="1"/>
    <col min="5" max="5" width="19.140625" customWidth="1"/>
    <col min="6" max="6" width="24.42578125" customWidth="1"/>
    <col min="7" max="7" width="25.85546875" customWidth="1"/>
  </cols>
  <sheetData>
    <row r="1" spans="1:8" x14ac:dyDescent="0.25">
      <c r="A1" s="173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592" t="s">
        <v>120</v>
      </c>
      <c r="C4" s="592"/>
      <c r="D4" s="592"/>
      <c r="E4" s="592"/>
      <c r="F4" s="592"/>
      <c r="G4" s="592"/>
      <c r="H4" s="592"/>
    </row>
    <row r="5" spans="1:8" x14ac:dyDescent="0.25">
      <c r="A5" s="1"/>
      <c r="B5" s="159"/>
      <c r="C5" s="160"/>
      <c r="D5" s="160"/>
      <c r="E5" s="160"/>
      <c r="F5" s="160"/>
      <c r="G5" s="160"/>
      <c r="H5" s="160"/>
    </row>
    <row r="6" spans="1:8" ht="15.75" thickBot="1" x14ac:dyDescent="0.3">
      <c r="A6" s="1"/>
      <c r="B6" s="1"/>
      <c r="C6" s="1"/>
      <c r="D6" s="1"/>
      <c r="E6" s="1"/>
      <c r="F6" s="1"/>
      <c r="G6" s="79"/>
      <c r="H6" s="1"/>
    </row>
    <row r="7" spans="1:8" ht="15" customHeight="1" x14ac:dyDescent="0.25">
      <c r="A7" s="1"/>
      <c r="B7" s="593" t="s">
        <v>3</v>
      </c>
      <c r="C7" s="594"/>
      <c r="D7" s="597" t="s">
        <v>61</v>
      </c>
      <c r="E7" s="599" t="s">
        <v>62</v>
      </c>
      <c r="F7" s="599" t="s">
        <v>63</v>
      </c>
      <c r="G7" s="601" t="s">
        <v>59</v>
      </c>
      <c r="H7" s="1"/>
    </row>
    <row r="8" spans="1:8" ht="23.25" customHeight="1" x14ac:dyDescent="0.25">
      <c r="A8" s="1"/>
      <c r="B8" s="595"/>
      <c r="C8" s="596"/>
      <c r="D8" s="598"/>
      <c r="E8" s="600"/>
      <c r="F8" s="600"/>
      <c r="G8" s="602"/>
      <c r="H8" s="1"/>
    </row>
    <row r="9" spans="1:8" ht="45" customHeight="1" x14ac:dyDescent="0.25">
      <c r="A9" s="1"/>
      <c r="B9" s="586" t="s">
        <v>64</v>
      </c>
      <c r="C9" s="587"/>
      <c r="D9" s="175">
        <f>[18]Vkupno!$C$12</f>
        <v>406</v>
      </c>
      <c r="E9" s="175">
        <f>[18]Vkupno!$D$12</f>
        <v>43866.07</v>
      </c>
      <c r="F9" s="175">
        <f>[18]Vkupno!$F$12</f>
        <v>573</v>
      </c>
      <c r="G9" s="176">
        <f>[18]Vkupno!$G$12</f>
        <v>137464.56</v>
      </c>
      <c r="H9" s="1"/>
    </row>
    <row r="10" spans="1:8" ht="45" customHeight="1" x14ac:dyDescent="0.25">
      <c r="A10" s="1"/>
      <c r="B10" s="586" t="s">
        <v>65</v>
      </c>
      <c r="C10" s="587"/>
      <c r="D10" s="175">
        <f>[18]Vkupno!$C$21</f>
        <v>70</v>
      </c>
      <c r="E10" s="175">
        <f>[18]Vkupno!$D$21</f>
        <v>13436.73</v>
      </c>
      <c r="F10" s="175">
        <f>[18]Vkupno!$F$21</f>
        <v>181</v>
      </c>
      <c r="G10" s="176">
        <f>[18]Vkupno!$G$21</f>
        <v>52957.909999999996</v>
      </c>
      <c r="H10" s="1"/>
    </row>
    <row r="11" spans="1:8" ht="38.25" customHeight="1" x14ac:dyDescent="0.25">
      <c r="A11" s="1"/>
      <c r="B11" s="588" t="s">
        <v>3</v>
      </c>
      <c r="C11" s="589"/>
      <c r="D11" s="177">
        <f>D9+D10</f>
        <v>476</v>
      </c>
      <c r="E11" s="178">
        <f>E9+E10</f>
        <v>57302.8</v>
      </c>
      <c r="F11" s="177">
        <f>F9+F10</f>
        <v>754</v>
      </c>
      <c r="G11" s="179">
        <f>G9+G10</f>
        <v>190422.47</v>
      </c>
      <c r="H11" s="1"/>
    </row>
    <row r="12" spans="1:8" ht="53.25" customHeight="1" thickBot="1" x14ac:dyDescent="0.3">
      <c r="A12" s="1"/>
      <c r="B12" s="590" t="s">
        <v>66</v>
      </c>
      <c r="C12" s="591"/>
      <c r="D12" s="175">
        <f>[18]Vkupno!$C$22</f>
        <v>643</v>
      </c>
      <c r="E12" s="175">
        <f>[18]Vkupno!$D$22</f>
        <v>89463.589999999982</v>
      </c>
      <c r="F12" s="175">
        <f>[18]Vkupno!$F$22</f>
        <v>539</v>
      </c>
      <c r="G12" s="176">
        <f>[18]Vkupno!$G$22</f>
        <v>138290.64000000001</v>
      </c>
      <c r="H12" s="1"/>
    </row>
  </sheetData>
  <mergeCells count="10">
    <mergeCell ref="B9:C9"/>
    <mergeCell ref="B10:C10"/>
    <mergeCell ref="B11:C11"/>
    <mergeCell ref="B12:C12"/>
    <mergeCell ref="B4:H4"/>
    <mergeCell ref="B7:C8"/>
    <mergeCell ref="D7:D8"/>
    <mergeCell ref="E7:E8"/>
    <mergeCell ref="F7:F8"/>
    <mergeCell ref="G7:G8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selection activeCell="F29" sqref="F29"/>
    </sheetView>
  </sheetViews>
  <sheetFormatPr defaultRowHeight="15" x14ac:dyDescent="0.25"/>
  <cols>
    <col min="1" max="1" width="7.42578125" bestFit="1" customWidth="1"/>
    <col min="2" max="2" width="32.5703125" customWidth="1"/>
  </cols>
  <sheetData>
    <row r="1" spans="1:14" ht="15.75" thickBot="1" x14ac:dyDescent="0.3">
      <c r="A1" s="26"/>
      <c r="B1" s="26"/>
      <c r="C1" s="455" t="s">
        <v>121</v>
      </c>
      <c r="D1" s="456"/>
      <c r="E1" s="456"/>
      <c r="F1" s="456"/>
      <c r="G1" s="456"/>
      <c r="H1" s="456"/>
      <c r="I1" s="456"/>
      <c r="J1" s="457"/>
      <c r="K1" s="457"/>
      <c r="L1" s="26"/>
      <c r="M1" s="26"/>
      <c r="N1" s="155" t="s">
        <v>36</v>
      </c>
    </row>
    <row r="2" spans="1:14" ht="15.75" thickBot="1" x14ac:dyDescent="0.3">
      <c r="A2" s="458" t="s">
        <v>0</v>
      </c>
      <c r="B2" s="460" t="s">
        <v>1</v>
      </c>
      <c r="C2" s="493" t="s">
        <v>2</v>
      </c>
      <c r="D2" s="494"/>
      <c r="E2" s="494"/>
      <c r="F2" s="494"/>
      <c r="G2" s="494"/>
      <c r="H2" s="494"/>
      <c r="I2" s="494"/>
      <c r="J2" s="494"/>
      <c r="K2" s="494"/>
      <c r="L2" s="494"/>
      <c r="M2" s="495"/>
      <c r="N2" s="462" t="s">
        <v>3</v>
      </c>
    </row>
    <row r="3" spans="1:14" ht="15.75" thickBot="1" x14ac:dyDescent="0.3">
      <c r="A3" s="459"/>
      <c r="B3" s="489"/>
      <c r="C3" s="354" t="s">
        <v>69</v>
      </c>
      <c r="D3" s="375" t="s">
        <v>4</v>
      </c>
      <c r="E3" s="413" t="s">
        <v>5</v>
      </c>
      <c r="F3" s="344" t="s">
        <v>6</v>
      </c>
      <c r="G3" s="414" t="s">
        <v>8</v>
      </c>
      <c r="H3" s="356" t="s">
        <v>94</v>
      </c>
      <c r="I3" s="413" t="s">
        <v>9</v>
      </c>
      <c r="J3" s="372" t="s">
        <v>38</v>
      </c>
      <c r="K3" s="358" t="s">
        <v>93</v>
      </c>
      <c r="L3" s="344" t="s">
        <v>11</v>
      </c>
      <c r="M3" s="373" t="s">
        <v>96</v>
      </c>
      <c r="N3" s="463"/>
    </row>
    <row r="4" spans="1:14" x14ac:dyDescent="0.25">
      <c r="A4" s="30">
        <v>1</v>
      </c>
      <c r="B4" s="351" t="s">
        <v>12</v>
      </c>
      <c r="C4" s="62">
        <f>[1]STA_SP5_NO!$C$10+[1]STA_SP5_NO!$K$10</f>
        <v>51473.06</v>
      </c>
      <c r="D4" s="368">
        <f>[2]STA_SP5_NO!$C$10+[2]STA_SP5_NO!$K$10</f>
        <v>31559.25</v>
      </c>
      <c r="E4" s="62">
        <f>[3]STA_SP5_NO!$C$10+[3]STA_SP5_NO!$K$10</f>
        <v>13216</v>
      </c>
      <c r="F4" s="54">
        <f>[4]STA_SP5_NO!$C$10+[4]STA_SP5_NO!$K$10</f>
        <v>30708.21</v>
      </c>
      <c r="G4" s="259">
        <f>[5]STA_SP5_NO!$C$10+[5]STA_SP5_NO!$K$10</f>
        <v>42407</v>
      </c>
      <c r="H4" s="371">
        <f>[6]STA_SP5_NO!$C$10+[6]STA_SP5_NO!$K$10</f>
        <v>18502.96</v>
      </c>
      <c r="I4" s="62">
        <f>[7]STA_SP5_NO!$C$10+[7]STA_SP5_NO!$K$10</f>
        <v>29944</v>
      </c>
      <c r="J4" s="54">
        <f>[8]STA_SP5_NO!$C$10+[8]STA_SP5_NO!$K$10</f>
        <v>20434</v>
      </c>
      <c r="K4" s="62">
        <f>[9]STA_SP5_NO!$C$10+[9]STA_SP5_NO!$K$10</f>
        <v>41084.86</v>
      </c>
      <c r="L4" s="54">
        <f>[10]STA_SP5_NO!$C$10+[10]STA_SP5_NO!$K$10</f>
        <v>77844</v>
      </c>
      <c r="M4" s="374">
        <f>[11]STA_SP5_NO!$C$10+[11]STA_SP5_NO!$K$10</f>
        <v>342.52</v>
      </c>
      <c r="N4" s="249">
        <f t="shared" ref="N4:N21" si="0">SUM(C4:M4)</f>
        <v>357515.86</v>
      </c>
    </row>
    <row r="5" spans="1:14" x14ac:dyDescent="0.25">
      <c r="A5" s="32">
        <v>2</v>
      </c>
      <c r="B5" s="352" t="s">
        <v>13</v>
      </c>
      <c r="C5" s="62">
        <f>[1]STA_SP5_NO!$C$11+[1]STA_SP5_NO!$K$11</f>
        <v>115021.37</v>
      </c>
      <c r="D5" s="368">
        <f>[2]STA_SP5_NO!$C$11+[2]STA_SP5_NO!$K$11</f>
        <v>82382.31</v>
      </c>
      <c r="E5" s="62">
        <f>[3]STA_SP5_NO!$C$11+[3]STA_SP5_NO!$K$11</f>
        <v>4458</v>
      </c>
      <c r="F5" s="54">
        <f>[4]STA_SP5_NO!$C$11+[4]STA_SP5_NO!$K$11</f>
        <v>77082.03</v>
      </c>
      <c r="G5" s="259">
        <f>[5]STA_SP5_NO!$C$11+[5]STA_SP5_NO!$K$11</f>
        <v>104069</v>
      </c>
      <c r="H5" s="371">
        <f>[6]STA_SP5_NO!$C$11+[6]STA_SP5_NO!$K$11</f>
        <v>0</v>
      </c>
      <c r="I5" s="62">
        <f>[7]STA_SP5_NO!$C$11+[7]STA_SP5_NO!$K$11</f>
        <v>73943</v>
      </c>
      <c r="J5" s="54">
        <f>[8]STA_SP5_NO!$C$11+[8]STA_SP5_NO!$K$11</f>
        <v>0</v>
      </c>
      <c r="K5" s="62">
        <f>[9]STA_SP5_NO!$C$11+[9]STA_SP5_NO!$K$11</f>
        <v>52876.03</v>
      </c>
      <c r="L5" s="54">
        <f>[10]STA_SP5_NO!$C$11+[10]STA_SP5_NO!$K$11</f>
        <v>77982</v>
      </c>
      <c r="M5" s="374">
        <f>[11]STA_SP5_NO!$C$11+[11]STA_SP5_NO!$K$11</f>
        <v>0</v>
      </c>
      <c r="N5" s="249">
        <f t="shared" si="0"/>
        <v>587813.74</v>
      </c>
    </row>
    <row r="6" spans="1:14" x14ac:dyDescent="0.25">
      <c r="A6" s="32">
        <v>3</v>
      </c>
      <c r="B6" s="352" t="s">
        <v>14</v>
      </c>
      <c r="C6" s="62">
        <f>[1]STA_SP5_NO!$C$12+[1]STA_SP5_NO!$K$12</f>
        <v>106612.64</v>
      </c>
      <c r="D6" s="368">
        <f>[2]STA_SP5_NO!$C$12+[2]STA_SP5_NO!$K$12</f>
        <v>98927.89</v>
      </c>
      <c r="E6" s="62">
        <f>[3]STA_SP5_NO!$C$12+[3]STA_SP5_NO!$K$12</f>
        <v>47152</v>
      </c>
      <c r="F6" s="54">
        <f>[4]STA_SP5_NO!$C$12+[4]STA_SP5_NO!$K$12</f>
        <v>155098.28999999998</v>
      </c>
      <c r="G6" s="259">
        <f>[5]STA_SP5_NO!$C$12+[5]STA_SP5_NO!$K$12</f>
        <v>80314</v>
      </c>
      <c r="H6" s="371">
        <f>[6]STA_SP5_NO!$C$12+[6]STA_SP5_NO!$K$12</f>
        <v>15240.82</v>
      </c>
      <c r="I6" s="62">
        <f>[7]STA_SP5_NO!$C$12+[7]STA_SP5_NO!$K$12</f>
        <v>70618</v>
      </c>
      <c r="J6" s="54">
        <f>[8]STA_SP5_NO!$C$12+[8]STA_SP5_NO!$K$12</f>
        <v>79418.149999999994</v>
      </c>
      <c r="K6" s="62">
        <f>[9]STA_SP5_NO!$C$12+[9]STA_SP5_NO!$K$12</f>
        <v>93811.36</v>
      </c>
      <c r="L6" s="54">
        <f>[10]STA_SP5_NO!$C$12+[10]STA_SP5_NO!$K$12</f>
        <v>70528</v>
      </c>
      <c r="M6" s="374">
        <f>[11]STA_SP5_NO!$C$12+[11]STA_SP5_NO!$K$12</f>
        <v>1188.17</v>
      </c>
      <c r="N6" s="249">
        <f t="shared" si="0"/>
        <v>818909.32</v>
      </c>
    </row>
    <row r="7" spans="1:14" x14ac:dyDescent="0.25">
      <c r="A7" s="32">
        <v>4</v>
      </c>
      <c r="B7" s="352" t="s">
        <v>15</v>
      </c>
      <c r="C7" s="62">
        <f>[1]STA_SP5_NO!$C$13+[1]STA_SP5_NO!$K$13</f>
        <v>0</v>
      </c>
      <c r="D7" s="368">
        <f>[2]STA_SP5_NO!$C$13+[2]STA_SP5_NO!$K$13</f>
        <v>0</v>
      </c>
      <c r="E7" s="62">
        <f>[3]STA_SP5_NO!$C$13+[3]STA_SP5_NO!$K$13</f>
        <v>0</v>
      </c>
      <c r="F7" s="54">
        <f>[4]STA_SP5_NO!$C$13+[4]STA_SP5_NO!$K$13</f>
        <v>0</v>
      </c>
      <c r="G7" s="259">
        <f>[5]STA_SP5_NO!$C$13+[5]STA_SP5_NO!$K$13</f>
        <v>0</v>
      </c>
      <c r="H7" s="371">
        <f>[6]STA_SP5_NO!$C$13+[6]STA_SP5_NO!$K$13</f>
        <v>0</v>
      </c>
      <c r="I7" s="62">
        <f>[7]STA_SP5_NO!$C$13+[7]STA_SP5_NO!$K$13</f>
        <v>0</v>
      </c>
      <c r="J7" s="54">
        <f>[8]STA_SP5_NO!$C$13+[8]STA_SP5_NO!$K$13</f>
        <v>0</v>
      </c>
      <c r="K7" s="62">
        <f>[9]STA_SP5_NO!$C$13+[9]STA_SP5_NO!$K$13</f>
        <v>0</v>
      </c>
      <c r="L7" s="54">
        <f>[10]STA_SP5_NO!$C$13+[10]STA_SP5_NO!$K$13</f>
        <v>0</v>
      </c>
      <c r="M7" s="374">
        <f>[11]STA_SP5_NO!$C$13+[11]STA_SP5_NO!$K$13</f>
        <v>0</v>
      </c>
      <c r="N7" s="249">
        <f t="shared" si="0"/>
        <v>0</v>
      </c>
    </row>
    <row r="8" spans="1:14" x14ac:dyDescent="0.25">
      <c r="A8" s="32">
        <v>5</v>
      </c>
      <c r="B8" s="352" t="s">
        <v>16</v>
      </c>
      <c r="C8" s="62">
        <f>[1]STA_SP5_NO!$C$14+[1]STA_SP5_NO!$K$14</f>
        <v>0</v>
      </c>
      <c r="D8" s="368">
        <f>[2]STA_SP5_NO!$C$14+[2]STA_SP5_NO!$K$14</f>
        <v>0</v>
      </c>
      <c r="E8" s="62">
        <f>[3]STA_SP5_NO!$C$14+[3]STA_SP5_NO!$K$14</f>
        <v>0</v>
      </c>
      <c r="F8" s="54">
        <f>[4]STA_SP5_NO!$C$14+[4]STA_SP5_NO!$K$14</f>
        <v>0</v>
      </c>
      <c r="G8" s="259">
        <f>[5]STA_SP5_NO!$C$14+[5]STA_SP5_NO!$K$14</f>
        <v>208</v>
      </c>
      <c r="H8" s="371">
        <f>[6]STA_SP5_NO!$C$14+[6]STA_SP5_NO!$K$14</f>
        <v>0</v>
      </c>
      <c r="I8" s="62">
        <f>[7]STA_SP5_NO!$C$14+[7]STA_SP5_NO!$K$14</f>
        <v>3784</v>
      </c>
      <c r="J8" s="54">
        <f>[8]STA_SP5_NO!$C$14+[8]STA_SP5_NO!$K$14</f>
        <v>243</v>
      </c>
      <c r="K8" s="62">
        <f>[9]STA_SP5_NO!$C$14+[9]STA_SP5_NO!$K$14</f>
        <v>0</v>
      </c>
      <c r="L8" s="54">
        <f>[10]STA_SP5_NO!$C$14+[10]STA_SP5_NO!$K$14</f>
        <v>13038</v>
      </c>
      <c r="M8" s="374">
        <f>[11]STA_SP5_NO!$C$14+[11]STA_SP5_NO!$K$14</f>
        <v>0</v>
      </c>
      <c r="N8" s="249">
        <f t="shared" si="0"/>
        <v>17273</v>
      </c>
    </row>
    <row r="9" spans="1:14" x14ac:dyDescent="0.25">
      <c r="A9" s="32">
        <v>6</v>
      </c>
      <c r="B9" s="352" t="s">
        <v>17</v>
      </c>
      <c r="C9" s="62">
        <f>[1]STA_SP5_NO!$C$15+[1]STA_SP5_NO!$K$15</f>
        <v>134.36000000000001</v>
      </c>
      <c r="D9" s="368">
        <f>[2]STA_SP5_NO!$C$15+[2]STA_SP5_NO!$K$15</f>
        <v>93.19</v>
      </c>
      <c r="E9" s="62">
        <f>[3]STA_SP5_NO!$C$15+[3]STA_SP5_NO!$K$15</f>
        <v>20</v>
      </c>
      <c r="F9" s="54">
        <f>[4]STA_SP5_NO!$C$15+[4]STA_SP5_NO!$K$15</f>
        <v>441.69</v>
      </c>
      <c r="G9" s="259">
        <f>[5]STA_SP5_NO!$C$15+[5]STA_SP5_NO!$K$15</f>
        <v>16</v>
      </c>
      <c r="H9" s="371">
        <f>[6]STA_SP5_NO!$C$15+[6]STA_SP5_NO!$K$15</f>
        <v>0</v>
      </c>
      <c r="I9" s="62">
        <f>[7]STA_SP5_NO!$C$15+[7]STA_SP5_NO!$K$15</f>
        <v>22</v>
      </c>
      <c r="J9" s="54">
        <f>[8]STA_SP5_NO!$C$15+[8]STA_SP5_NO!$K$15</f>
        <v>177</v>
      </c>
      <c r="K9" s="62">
        <f>[9]STA_SP5_NO!$C$15+[9]STA_SP5_NO!$K$15</f>
        <v>119.52</v>
      </c>
      <c r="L9" s="54">
        <f>[10]STA_SP5_NO!$C$15+[10]STA_SP5_NO!$K$15</f>
        <v>0</v>
      </c>
      <c r="M9" s="374">
        <f>[11]STA_SP5_NO!$C$15+[11]STA_SP5_NO!$K$15</f>
        <v>0</v>
      </c>
      <c r="N9" s="249">
        <f t="shared" si="0"/>
        <v>1023.76</v>
      </c>
    </row>
    <row r="10" spans="1:14" x14ac:dyDescent="0.25">
      <c r="A10" s="32">
        <v>7</v>
      </c>
      <c r="B10" s="352" t="s">
        <v>18</v>
      </c>
      <c r="C10" s="62">
        <f>[1]STA_SP5_NO!$C$16+[1]STA_SP5_NO!$K$16</f>
        <v>1323.63</v>
      </c>
      <c r="D10" s="368">
        <f>[2]STA_SP5_NO!$C$16+[2]STA_SP5_NO!$K$16</f>
        <v>6204.54</v>
      </c>
      <c r="E10" s="62">
        <f>[3]STA_SP5_NO!$C$16+[3]STA_SP5_NO!$K$16</f>
        <v>1250</v>
      </c>
      <c r="F10" s="54">
        <f>[4]STA_SP5_NO!$C$16+[4]STA_SP5_NO!$K$16</f>
        <v>1655.02</v>
      </c>
      <c r="G10" s="259">
        <f>[5]STA_SP5_NO!$C$16+[5]STA_SP5_NO!$K$16</f>
        <v>507</v>
      </c>
      <c r="H10" s="371">
        <f>[6]STA_SP5_NO!$C$16+[6]STA_SP5_NO!$K$16</f>
        <v>0</v>
      </c>
      <c r="I10" s="62">
        <f>[7]STA_SP5_NO!$C$16+[7]STA_SP5_NO!$K$16</f>
        <v>1192</v>
      </c>
      <c r="J10" s="54">
        <f>[8]STA_SP5_NO!$C$16+[8]STA_SP5_NO!$K$16</f>
        <v>281.37</v>
      </c>
      <c r="K10" s="62">
        <f>[9]STA_SP5_NO!$C$16+[9]STA_SP5_NO!$K$16</f>
        <v>3041.7</v>
      </c>
      <c r="L10" s="54">
        <f>[10]STA_SP5_NO!$C$16+[10]STA_SP5_NO!$K$16</f>
        <v>2487</v>
      </c>
      <c r="M10" s="374">
        <f>[11]STA_SP5_NO!$C$16+[11]STA_SP5_NO!$K$16</f>
        <v>0</v>
      </c>
      <c r="N10" s="249">
        <f t="shared" si="0"/>
        <v>17942.260000000002</v>
      </c>
    </row>
    <row r="11" spans="1:14" x14ac:dyDescent="0.25">
      <c r="A11" s="32">
        <v>8</v>
      </c>
      <c r="B11" s="352" t="s">
        <v>19</v>
      </c>
      <c r="C11" s="62">
        <f>[1]STA_SP5_NO!$C$17+[1]STA_SP5_NO!$K$17</f>
        <v>91738.71</v>
      </c>
      <c r="D11" s="368">
        <f>[2]STA_SP5_NO!$C$17+[2]STA_SP5_NO!$K$17</f>
        <v>47960.6</v>
      </c>
      <c r="E11" s="62">
        <f>[3]STA_SP5_NO!$C$17+[3]STA_SP5_NO!$K$17</f>
        <v>29048</v>
      </c>
      <c r="F11" s="54">
        <f>[4]STA_SP5_NO!$C$17+[4]STA_SP5_NO!$K$17</f>
        <v>49002.47</v>
      </c>
      <c r="G11" s="259">
        <f>[5]STA_SP5_NO!$C$17+[5]STA_SP5_NO!$K$17</f>
        <v>389385</v>
      </c>
      <c r="H11" s="371">
        <f>[6]STA_SP5_NO!$C$17+[6]STA_SP5_NO!$K$17</f>
        <v>2138.31</v>
      </c>
      <c r="I11" s="62">
        <f>[7]STA_SP5_NO!$C$17+[7]STA_SP5_NO!$K$17</f>
        <v>25792</v>
      </c>
      <c r="J11" s="54">
        <f>[8]STA_SP5_NO!$C$17+[8]STA_SP5_NO!$K$17</f>
        <v>37257</v>
      </c>
      <c r="K11" s="62">
        <f>[9]STA_SP5_NO!$C$17+[9]STA_SP5_NO!$K$17</f>
        <v>41838.639999999999</v>
      </c>
      <c r="L11" s="54">
        <f>[10]STA_SP5_NO!$C$17+[10]STA_SP5_NO!$K$17</f>
        <v>39058</v>
      </c>
      <c r="M11" s="374">
        <f>[11]STA_SP5_NO!$C$17+[11]STA_SP5_NO!$K$17</f>
        <v>49.44</v>
      </c>
      <c r="N11" s="249">
        <f t="shared" si="0"/>
        <v>753268.17</v>
      </c>
    </row>
    <row r="12" spans="1:14" x14ac:dyDescent="0.25">
      <c r="A12" s="32">
        <v>9</v>
      </c>
      <c r="B12" s="352" t="s">
        <v>20</v>
      </c>
      <c r="C12" s="62">
        <f>[1]STA_SP5_NO!$C$20+[1]STA_SP5_NO!$K$20</f>
        <v>156984.49</v>
      </c>
      <c r="D12" s="368">
        <f>[2]STA_SP5_NO!$C$20+[2]STA_SP5_NO!$K$20</f>
        <v>78790.66</v>
      </c>
      <c r="E12" s="62">
        <f>[3]STA_SP5_NO!$C$20+[3]STA_SP5_NO!$K$20</f>
        <v>28829</v>
      </c>
      <c r="F12" s="54">
        <f>[4]STA_SP5_NO!$C$20+[4]STA_SP5_NO!$K$20</f>
        <v>89837.18</v>
      </c>
      <c r="G12" s="259">
        <f>[5]STA_SP5_NO!$C$20+[5]STA_SP5_NO!$K$20</f>
        <v>241960</v>
      </c>
      <c r="H12" s="371">
        <f>[6]STA_SP5_NO!$C$20+[6]STA_SP5_NO!$K$20</f>
        <v>1189.3599999999999</v>
      </c>
      <c r="I12" s="62">
        <f>[7]STA_SP5_NO!$C$20+[7]STA_SP5_NO!$K$20</f>
        <v>73287</v>
      </c>
      <c r="J12" s="54">
        <f>[8]STA_SP5_NO!$C$20+[8]STA_SP5_NO!$K$20</f>
        <v>17340.72</v>
      </c>
      <c r="K12" s="62">
        <f>[9]STA_SP5_NO!$C$20+[9]STA_SP5_NO!$K$20</f>
        <v>44707.16</v>
      </c>
      <c r="L12" s="54">
        <f>[10]STA_SP5_NO!$C$20+[10]STA_SP5_NO!$K$20</f>
        <v>33703</v>
      </c>
      <c r="M12" s="374">
        <f>[11]STA_SP5_NO!$C$20+[11]STA_SP5_NO!$K$20</f>
        <v>18.3</v>
      </c>
      <c r="N12" s="249">
        <f t="shared" si="0"/>
        <v>766646.87000000011</v>
      </c>
    </row>
    <row r="13" spans="1:14" x14ac:dyDescent="0.25">
      <c r="A13" s="32">
        <v>10</v>
      </c>
      <c r="B13" s="352" t="s">
        <v>21</v>
      </c>
      <c r="C13" s="62">
        <f>[1]STA_SP5_NO!$C$26+[1]STA_SP5_NO!$K$26</f>
        <v>437752.52</v>
      </c>
      <c r="D13" s="368">
        <f>[2]STA_SP5_NO!$C$26+[2]STA_SP5_NO!$K$26</f>
        <v>243267.58</v>
      </c>
      <c r="E13" s="62">
        <f>[3]STA_SP5_NO!$C$26+[3]STA_SP5_NO!$K$26</f>
        <v>155778</v>
      </c>
      <c r="F13" s="54">
        <f>[4]STA_SP5_NO!$C$26+[4]STA_SP5_NO!$K$26</f>
        <v>288826.51</v>
      </c>
      <c r="G13" s="259">
        <f>[5]STA_SP5_NO!$C$26+[5]STA_SP5_NO!$K$26</f>
        <v>240957</v>
      </c>
      <c r="H13" s="371">
        <f>[6]STA_SP5_NO!$C$26+[6]STA_SP5_NO!$K$26</f>
        <v>339421.55</v>
      </c>
      <c r="I13" s="62">
        <f>[7]STA_SP5_NO!$C$26+[7]STA_SP5_NO!$K$26</f>
        <v>549779</v>
      </c>
      <c r="J13" s="54">
        <f>[8]STA_SP5_NO!$C$26+[8]STA_SP5_NO!$K$26</f>
        <v>305748</v>
      </c>
      <c r="K13" s="62">
        <f>[9]STA_SP5_NO!$C$26+[9]STA_SP5_NO!$K$26</f>
        <v>205776.96</v>
      </c>
      <c r="L13" s="54">
        <f>[10]STA_SP5_NO!$C$26+[10]STA_SP5_NO!$K$26</f>
        <v>344168</v>
      </c>
      <c r="M13" s="374">
        <f>[11]STA_SP5_NO!$C$26+[11]STA_SP5_NO!$K$26</f>
        <v>11417.22</v>
      </c>
      <c r="N13" s="249">
        <f t="shared" si="0"/>
        <v>3122892.3400000003</v>
      </c>
    </row>
    <row r="14" spans="1:14" x14ac:dyDescent="0.25">
      <c r="A14" s="32">
        <v>11</v>
      </c>
      <c r="B14" s="352" t="s">
        <v>22</v>
      </c>
      <c r="C14" s="62">
        <f>[1]STA_SP5_NO!$C$33+[1]STA_SP5_NO!$K$33</f>
        <v>19.260000000000002</v>
      </c>
      <c r="D14" s="368">
        <f>[2]STA_SP5_NO!$C$33+[2]STA_SP5_NO!$K$33</f>
        <v>182.12</v>
      </c>
      <c r="E14" s="62">
        <f>[3]STA_SP5_NO!$C$33+[3]STA_SP5_NO!$K$33</f>
        <v>0</v>
      </c>
      <c r="F14" s="54">
        <f>[4]STA_SP5_NO!$C$33+[4]STA_SP5_NO!$K$33</f>
        <v>0</v>
      </c>
      <c r="G14" s="259">
        <f>[5]STA_SP5_NO!$C$33+[5]STA_SP5_NO!$K$33</f>
        <v>34</v>
      </c>
      <c r="H14" s="371">
        <f>[6]STA_SP5_NO!$C$33+[6]STA_SP5_NO!$K$33</f>
        <v>0</v>
      </c>
      <c r="I14" s="62">
        <f>[7]STA_SP5_NO!$C$33+[7]STA_SP5_NO!$K$33</f>
        <v>338</v>
      </c>
      <c r="J14" s="54">
        <f>[8]STA_SP5_NO!$C$33+[8]STA_SP5_NO!$K$33</f>
        <v>1522</v>
      </c>
      <c r="K14" s="62">
        <f>[9]STA_SP5_NO!$C$33+[9]STA_SP5_NO!$K$33</f>
        <v>0</v>
      </c>
      <c r="L14" s="54">
        <f>[10]STA_SP5_NO!$C$33+[10]STA_SP5_NO!$K$33</f>
        <v>1617</v>
      </c>
      <c r="M14" s="374">
        <f>[11]STA_SP5_NO!$C$33+[11]STA_SP5_NO!$K$33</f>
        <v>0</v>
      </c>
      <c r="N14" s="249">
        <f t="shared" si="0"/>
        <v>3712.38</v>
      </c>
    </row>
    <row r="15" spans="1:14" x14ac:dyDescent="0.25">
      <c r="A15" s="32">
        <v>12</v>
      </c>
      <c r="B15" s="352" t="s">
        <v>23</v>
      </c>
      <c r="C15" s="62">
        <f>[1]STA_SP5_NO!$C$34+[1]STA_SP5_NO!$K$34</f>
        <v>430.87</v>
      </c>
      <c r="D15" s="368">
        <f>[2]STA_SP5_NO!$C$34+[2]STA_SP5_NO!$K$34</f>
        <v>179</v>
      </c>
      <c r="E15" s="62">
        <f>[3]STA_SP5_NO!$C$34+[3]STA_SP5_NO!$K$34</f>
        <v>49</v>
      </c>
      <c r="F15" s="54">
        <f>[4]STA_SP5_NO!$C$34+[4]STA_SP5_NO!$K$340</f>
        <v>664.59</v>
      </c>
      <c r="G15" s="259">
        <f>[5]STA_SP5_NO!$C$34+[5]STA_SP5_NO!$K$34</f>
        <v>489</v>
      </c>
      <c r="H15" s="371">
        <f>[6]STA_SP5_NO!$C$34+[6]STA_SP5_NO!$K$34</f>
        <v>0</v>
      </c>
      <c r="I15" s="62">
        <f>[7]STA_SP5_NO!$C$34+[7]STA_SP5_NO!$K$34</f>
        <v>385</v>
      </c>
      <c r="J15" s="54">
        <f>[8]STA_SP5_NO!$C$34+[8]STA_SP5_NO!$K$34</f>
        <v>384</v>
      </c>
      <c r="K15" s="62">
        <f>[9]STA_SP5_NO!$C$34+[9]STA_SP5_NO!$K$34</f>
        <v>257.14999999999998</v>
      </c>
      <c r="L15" s="54">
        <f>[10]STA_SP5_NO!$C$34+[10]STA_SP5_NO!$K$34</f>
        <v>131</v>
      </c>
      <c r="M15" s="374">
        <f>[11]STA_SP5_NO!$C$34+[11]STA_SP5_NO!$K$34</f>
        <v>0</v>
      </c>
      <c r="N15" s="249">
        <f t="shared" si="0"/>
        <v>2969.61</v>
      </c>
    </row>
    <row r="16" spans="1:14" x14ac:dyDescent="0.25">
      <c r="A16" s="32">
        <v>13</v>
      </c>
      <c r="B16" s="352" t="s">
        <v>24</v>
      </c>
      <c r="C16" s="62">
        <f>[1]STA_SP5_NO!$C$35+[1]STA_SP5_NO!$K$35</f>
        <v>33228.04</v>
      </c>
      <c r="D16" s="368">
        <f>[2]STA_SP5_NO!$C$35+[2]STA_SP5_NO!$K$35</f>
        <v>19336.46</v>
      </c>
      <c r="E16" s="62">
        <f>[3]STA_SP5_NO!$C$35+[3]STA_SP5_NO!$K$35</f>
        <v>6994</v>
      </c>
      <c r="F16" s="54">
        <f>[4]STA_SP5_NO!$C$35+[4]STA_SP5_NO!$K$35</f>
        <v>7771.38</v>
      </c>
      <c r="G16" s="259">
        <f>[5]STA_SP5_NO!$C$35+[5]STA_SP5_NO!$K$35</f>
        <v>113937</v>
      </c>
      <c r="H16" s="371">
        <f>[6]STA_SP5_NO!$C$35+[6]STA_SP5_NO!$K$35</f>
        <v>377.82</v>
      </c>
      <c r="I16" s="62">
        <f>[7]STA_SP5_NO!$C$35+[7]STA_SP5_NO!$K$35</f>
        <v>18906</v>
      </c>
      <c r="J16" s="54">
        <f>[8]STA_SP5_NO!$C$35+[8]STA_SP5_NO!$K$35</f>
        <v>13553</v>
      </c>
      <c r="K16" s="62">
        <f>[9]STA_SP5_NO!$C$35+[9]STA_SP5_NO!$K$35</f>
        <v>22634.57</v>
      </c>
      <c r="L16" s="54">
        <f>[10]STA_SP5_NO!$C$35+[10]STA_SP5_NO!$K$35</f>
        <v>11329</v>
      </c>
      <c r="M16" s="374">
        <f>[11]STA_SP5_NO!$C$35+[11]STA_SP5_NO!$K$35</f>
        <v>19.100000000000001</v>
      </c>
      <c r="N16" s="249">
        <f t="shared" si="0"/>
        <v>248086.37000000002</v>
      </c>
    </row>
    <row r="17" spans="1:14" x14ac:dyDescent="0.25">
      <c r="A17" s="32">
        <v>14</v>
      </c>
      <c r="B17" s="352" t="s">
        <v>25</v>
      </c>
      <c r="C17" s="62">
        <f>[1]STA_SP5_NO!$C$36+[1]STA_SP5_NO!$K$36</f>
        <v>25230.95</v>
      </c>
      <c r="D17" s="368">
        <f>[2]STA_SP5_NO!$C$36+[2]STA_SP5_NO!$K$36</f>
        <v>54668.37</v>
      </c>
      <c r="E17" s="62">
        <f>[3]STA_SP5_NO!$C$36+[3]STA_SP5_NO!$K$36</f>
        <v>28</v>
      </c>
      <c r="F17" s="54">
        <f>[4]STA_SP5_NO!$C$36+[4]STA_SP5_NO!$K$36</f>
        <v>1699.79</v>
      </c>
      <c r="G17" s="259">
        <f>[5]STA_SP5_NO!$C$36+[5]STA_SP5_NO!$K$36</f>
        <v>0</v>
      </c>
      <c r="H17" s="371">
        <f>[6]STA_SP5_NO!$C$36+[6]STA_SP5_NO!$K$36</f>
        <v>0</v>
      </c>
      <c r="I17" s="62">
        <f>[7]STA_SP5_NO!$C$36+[7]STA_SP5_NO!$K$36</f>
        <v>0</v>
      </c>
      <c r="J17" s="54">
        <f>[8]STA_SP5_NO!$C$36+[8]STA_SP5_NO!$K$36</f>
        <v>0</v>
      </c>
      <c r="K17" s="62">
        <f>[9]STA_SP5_NO!$C$36+[9]STA_SP5_NO!$K$36</f>
        <v>125552.8</v>
      </c>
      <c r="L17" s="54">
        <f>[10]STA_SP5_NO!$C$36+[10]STA_SP5_NO!$K$36</f>
        <v>8604</v>
      </c>
      <c r="M17" s="374">
        <f>[11]STA_SP5_NO!$C$36+[11]STA_SP5_NO!$K$36</f>
        <v>0</v>
      </c>
      <c r="N17" s="249">
        <f t="shared" si="0"/>
        <v>215783.91</v>
      </c>
    </row>
    <row r="18" spans="1:14" x14ac:dyDescent="0.25">
      <c r="A18" s="32">
        <v>15</v>
      </c>
      <c r="B18" s="352" t="s">
        <v>26</v>
      </c>
      <c r="C18" s="62">
        <f>[1]STA_SP5_NO!$C$37+[1]STA_SP5_NO!$K$37</f>
        <v>0</v>
      </c>
      <c r="D18" s="368">
        <f>[2]STA_SP5_NO!$C$37+[2]STA_SP5_NO!$K$37</f>
        <v>0</v>
      </c>
      <c r="E18" s="62">
        <f>[3]STA_SP5_NO!$C$37+[3]STA_SP5_NO!$K$37</f>
        <v>154</v>
      </c>
      <c r="F18" s="54">
        <f>[4]STA_SP5_NO!$C$37+[4]STA_SP5_NO!$K$37</f>
        <v>0</v>
      </c>
      <c r="G18" s="259">
        <f>[5]STA_SP5_NO!$C$37+[5]STA_SP5_NO!$K$37</f>
        <v>242</v>
      </c>
      <c r="H18" s="371">
        <f>[6]STA_SP5_NO!$C$37+[6]STA_SP5_NO!$K$37</f>
        <v>0</v>
      </c>
      <c r="I18" s="62">
        <f>[7]STA_SP5_NO!$C$37+[7]STA_SP5_NO!$K$37</f>
        <v>0</v>
      </c>
      <c r="J18" s="54">
        <f>[8]STA_SP5_NO!$C$37+[8]STA_SP5_NO!$K$37</f>
        <v>0</v>
      </c>
      <c r="K18" s="62">
        <f>[9]STA_SP5_NO!$C$37+[9]STA_SP5_NO!$K$37</f>
        <v>85.21</v>
      </c>
      <c r="L18" s="54">
        <f>[10]STA_SP5_NO!$C$37+[10]STA_SP5_NO!$K$37</f>
        <v>0</v>
      </c>
      <c r="M18" s="374">
        <f>[11]STA_SP5_NO!$C$37+[11]STA_SP5_NO!$K$37</f>
        <v>0</v>
      </c>
      <c r="N18" s="249">
        <f t="shared" si="0"/>
        <v>481.21</v>
      </c>
    </row>
    <row r="19" spans="1:14" x14ac:dyDescent="0.25">
      <c r="A19" s="32">
        <v>16</v>
      </c>
      <c r="B19" s="352" t="s">
        <v>27</v>
      </c>
      <c r="C19" s="62">
        <f>[1]STA_SP5_NO!$C$38+[1]STA_SP5_NO!$K$38</f>
        <v>6213.8</v>
      </c>
      <c r="D19" s="368">
        <f>[2]STA_SP5_NO!$C$38+[2]STA_SP5_NO!$K$38</f>
        <v>15564.65</v>
      </c>
      <c r="E19" s="62">
        <f>[3]STA_SP5_NO!$C$38+[3]STA_SP5_NO!$K$38</f>
        <v>101</v>
      </c>
      <c r="F19" s="54">
        <f>[4]STA_SP5_NO!$C$38+[4]STA_SP5_NO!$K$38</f>
        <v>1665.51</v>
      </c>
      <c r="G19" s="259">
        <f>[5]STA_SP5_NO!$C$38+[5]STA_SP5_NO!$K$38</f>
        <v>287</v>
      </c>
      <c r="H19" s="371">
        <f>[6]STA_SP5_NO!$C$38+[6]STA_SP5_NO!$K$38</f>
        <v>0</v>
      </c>
      <c r="I19" s="62">
        <f>[7]STA_SP5_NO!$C$38+[7]STA_SP5_NO!$K$38</f>
        <v>4110</v>
      </c>
      <c r="J19" s="54">
        <f>[8]STA_SP5_NO!$C$38+[8]STA_SP5_NO!$K$38</f>
        <v>0</v>
      </c>
      <c r="K19" s="62">
        <f>[9]STA_SP5_NO!$C$38+[9]STA_SP5_NO!$K$38</f>
        <v>8253.7199999999993</v>
      </c>
      <c r="L19" s="54">
        <f>[10]STA_SP5_NO!$C$38+[10]STA_SP5_NO!$K$38</f>
        <v>434</v>
      </c>
      <c r="M19" s="374">
        <f>[11]STA_SP5_NO!$C$38+[11]STA_SP5_NO!$K$38</f>
        <v>0</v>
      </c>
      <c r="N19" s="249">
        <f t="shared" si="0"/>
        <v>36629.68</v>
      </c>
    </row>
    <row r="20" spans="1:14" x14ac:dyDescent="0.25">
      <c r="A20" s="32">
        <v>17</v>
      </c>
      <c r="B20" s="352" t="s">
        <v>28</v>
      </c>
      <c r="C20" s="62">
        <f>[1]STA_SP5_NO!$C$39+[1]STA_SP5_NO!$K$39</f>
        <v>0</v>
      </c>
      <c r="D20" s="368">
        <f>[2]STA_SP5_NO!$C$39+[2]STA_SP5_NO!$K$39</f>
        <v>0</v>
      </c>
      <c r="E20" s="62">
        <f>[3]STA_SP5_NO!$C$39+[3]STA_SP5_NO!$K$39</f>
        <v>0</v>
      </c>
      <c r="F20" s="54">
        <f>[4]STA_SP5_NO!$C$39+[4]STA_SP5_NO!$K$39</f>
        <v>0</v>
      </c>
      <c r="G20" s="259">
        <f>[5]STA_SP5_NO!$C$39+[5]STA_SP5_NO!$K$39</f>
        <v>0</v>
      </c>
      <c r="H20" s="371">
        <f>[6]STA_SP5_NO!$C$39+[6]STA_SP5_NO!$K$39</f>
        <v>0</v>
      </c>
      <c r="I20" s="62">
        <f>[7]STA_SP5_NO!$C$39+[7]STA_SP5_NO!$K$39</f>
        <v>0</v>
      </c>
      <c r="J20" s="54">
        <f>[8]STA_SP5_NO!$C$39+[8]STA_SP5_NO!$K$39</f>
        <v>0</v>
      </c>
      <c r="K20" s="62">
        <f>[9]STA_SP5_NO!$C$39+[9]STA_SP5_NO!$K$39</f>
        <v>0</v>
      </c>
      <c r="L20" s="54">
        <f>[10]STA_SP5_NO!$C$39+[10]STA_SP5_NO!$K$39</f>
        <v>1</v>
      </c>
      <c r="M20" s="374">
        <f>[11]STA_SP5_NO!$C$39+[11]STA_SP5_NO!$K$39</f>
        <v>0</v>
      </c>
      <c r="N20" s="249">
        <f t="shared" si="0"/>
        <v>1</v>
      </c>
    </row>
    <row r="21" spans="1:14" ht="15.75" thickBot="1" x14ac:dyDescent="0.3">
      <c r="A21" s="34">
        <v>18</v>
      </c>
      <c r="B21" s="353" t="s">
        <v>29</v>
      </c>
      <c r="C21" s="62">
        <f>[1]STA_SP5_NO!$C$40+[1]STA_SP5_NO!$K$40</f>
        <v>4557.2700000000004</v>
      </c>
      <c r="D21" s="368">
        <f>[2]STA_SP5_NO!$C$40+[2]STA_SP5_NO!$K$40</f>
        <v>12510.119999999999</v>
      </c>
      <c r="E21" s="62">
        <f>[3]STA_SP5_NO!$C$40+[3]STA_SP5_NO!$K$40</f>
        <v>3068</v>
      </c>
      <c r="F21" s="54">
        <f>[4]STA_SP5_NO!$C$40+[4]STA_SP5_NO!$K$40</f>
        <v>6242.93</v>
      </c>
      <c r="G21" s="259">
        <f>[5]STA_SP5_NO!$C$40+[5]STA_SP5_NO!$K$40</f>
        <v>15302</v>
      </c>
      <c r="H21" s="371">
        <f>[6]STA_SP5_NO!$C$40+[6]STA_SP5_NO!$K$40</f>
        <v>1060.45</v>
      </c>
      <c r="I21" s="62">
        <f>[7]STA_SP5_NO!$C$40+[7]STA_SP5_NO!$K$40</f>
        <v>6079</v>
      </c>
      <c r="J21" s="54">
        <f>[8]STA_SP5_NO!$C$40+[8]STA_SP5_NO!$K$40</f>
        <v>6447</v>
      </c>
      <c r="K21" s="62">
        <f>[9]STA_SP5_NO!$C$40+[9]STA_SP5_NO!$K$40</f>
        <v>6085.47</v>
      </c>
      <c r="L21" s="54">
        <f>[10]STA_SP5_NO!$C$40+[10]STA_SP5_NO!$K$40</f>
        <v>9229</v>
      </c>
      <c r="M21" s="374">
        <f>[11]STA_SP5_NO!$C$40+[11]STA_SP5_NO!$K$40</f>
        <v>6.66</v>
      </c>
      <c r="N21" s="249">
        <f t="shared" si="0"/>
        <v>70587.899999999994</v>
      </c>
    </row>
    <row r="22" spans="1:14" ht="15.75" thickBot="1" x14ac:dyDescent="0.3">
      <c r="A22" s="36"/>
      <c r="B22" s="366" t="s">
        <v>30</v>
      </c>
      <c r="C22" s="350">
        <f>SUM(C4:C21)</f>
        <v>1030720.9700000001</v>
      </c>
      <c r="D22" s="360">
        <f>SUM(D4:D21)</f>
        <v>691626.74</v>
      </c>
      <c r="E22" s="350">
        <f t="shared" ref="E22:N22" si="1">SUM(E4:E21)</f>
        <v>290145</v>
      </c>
      <c r="F22" s="362">
        <f t="shared" si="1"/>
        <v>710695.6</v>
      </c>
      <c r="G22" s="376">
        <f t="shared" si="1"/>
        <v>1230114</v>
      </c>
      <c r="H22" s="362">
        <f t="shared" si="1"/>
        <v>377931.27</v>
      </c>
      <c r="I22" s="350">
        <f t="shared" si="1"/>
        <v>858179</v>
      </c>
      <c r="J22" s="363">
        <f t="shared" si="1"/>
        <v>482805.24</v>
      </c>
      <c r="K22" s="350">
        <f t="shared" si="1"/>
        <v>646125.14999999991</v>
      </c>
      <c r="L22" s="362">
        <f t="shared" si="1"/>
        <v>690153</v>
      </c>
      <c r="M22" s="364">
        <f t="shared" si="1"/>
        <v>13041.41</v>
      </c>
      <c r="N22" s="250">
        <f t="shared" si="1"/>
        <v>7021537.3800000008</v>
      </c>
    </row>
    <row r="23" spans="1:14" ht="15.75" thickBot="1" x14ac:dyDescent="0.3">
      <c r="A23" s="1"/>
      <c r="B23" s="1"/>
      <c r="C23" s="1"/>
      <c r="D23" s="1"/>
      <c r="E23" s="1"/>
      <c r="F23" s="1"/>
      <c r="G23" s="341"/>
      <c r="H23" s="119"/>
      <c r="I23" s="341"/>
      <c r="J23" s="1"/>
      <c r="K23" s="341"/>
      <c r="L23" s="1"/>
      <c r="M23" s="348"/>
      <c r="N23" s="1"/>
    </row>
    <row r="24" spans="1:14" s="419" customFormat="1" ht="23.25" customHeight="1" thickBot="1" x14ac:dyDescent="0.3">
      <c r="A24" s="467" t="s">
        <v>31</v>
      </c>
      <c r="B24" s="603"/>
      <c r="C24" s="415">
        <f>C22/N22</f>
        <v>0.14679420107281405</v>
      </c>
      <c r="D24" s="416">
        <f>D22/N22</f>
        <v>9.8500755969770246E-2</v>
      </c>
      <c r="E24" s="415">
        <f>E22/N22</f>
        <v>4.1322147030996785E-2</v>
      </c>
      <c r="F24" s="416">
        <f>F22/N22</f>
        <v>0.10121652304014365</v>
      </c>
      <c r="G24" s="415">
        <f>G22/N22</f>
        <v>0.17519154758099428</v>
      </c>
      <c r="H24" s="416">
        <f>H22/N22</f>
        <v>5.3824575665792435E-2</v>
      </c>
      <c r="I24" s="415">
        <f>I22/N22</f>
        <v>0.12222095440870527</v>
      </c>
      <c r="J24" s="416">
        <f>J22/N22</f>
        <v>6.8760616638631339E-2</v>
      </c>
      <c r="K24" s="415">
        <f>K22/N22</f>
        <v>9.2020467175808127E-2</v>
      </c>
      <c r="L24" s="416">
        <f>L22/N22</f>
        <v>9.8290867462418885E-2</v>
      </c>
      <c r="M24" s="417">
        <f>M22/N22</f>
        <v>1.8573439539248024E-3</v>
      </c>
      <c r="N24" s="418">
        <f>SUM(C24:M24)</f>
        <v>0.99999999999999989</v>
      </c>
    </row>
  </sheetData>
  <mergeCells count="6">
    <mergeCell ref="A24:B24"/>
    <mergeCell ref="C1:K1"/>
    <mergeCell ref="A2:A3"/>
    <mergeCell ref="B2:B3"/>
    <mergeCell ref="C2:M2"/>
    <mergeCell ref="N2:N3"/>
  </mergeCells>
  <pageMargins left="0.25" right="0.25" top="0.75" bottom="0.75" header="0.3" footer="0.3"/>
  <pageSetup paperSize="9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S16" sqref="S16"/>
    </sheetView>
  </sheetViews>
  <sheetFormatPr defaultRowHeight="15" x14ac:dyDescent="0.25"/>
  <cols>
    <col min="1" max="1" width="4" customWidth="1"/>
    <col min="2" max="2" width="28.42578125" customWidth="1"/>
    <col min="3" max="3" width="11" bestFit="1" customWidth="1"/>
    <col min="4" max="4" width="9.85546875" bestFit="1" customWidth="1"/>
    <col min="6" max="6" width="9.140625" customWidth="1"/>
    <col min="8" max="8" width="9.85546875" bestFit="1" customWidth="1"/>
  </cols>
  <sheetData>
    <row r="1" spans="1:14" ht="31.5" customHeight="1" thickBot="1" x14ac:dyDescent="0.3">
      <c r="A1" s="120"/>
      <c r="B1" s="120"/>
      <c r="C1" s="455" t="s">
        <v>99</v>
      </c>
      <c r="D1" s="456"/>
      <c r="E1" s="456"/>
      <c r="F1" s="456"/>
      <c r="G1" s="456"/>
      <c r="H1" s="456"/>
      <c r="I1" s="456"/>
      <c r="J1" s="457"/>
      <c r="K1" s="457"/>
      <c r="L1" s="26"/>
      <c r="M1" s="26"/>
      <c r="N1" s="155" t="s">
        <v>36</v>
      </c>
    </row>
    <row r="2" spans="1:14" ht="15.75" thickBot="1" x14ac:dyDescent="0.3">
      <c r="A2" s="458" t="s">
        <v>0</v>
      </c>
      <c r="B2" s="460" t="s">
        <v>1</v>
      </c>
      <c r="C2" s="464" t="s">
        <v>2</v>
      </c>
      <c r="D2" s="465"/>
      <c r="E2" s="465"/>
      <c r="F2" s="465"/>
      <c r="G2" s="465"/>
      <c r="H2" s="465"/>
      <c r="I2" s="465"/>
      <c r="J2" s="465"/>
      <c r="K2" s="465"/>
      <c r="L2" s="465"/>
      <c r="M2" s="466"/>
      <c r="N2" s="462" t="s">
        <v>3</v>
      </c>
    </row>
    <row r="3" spans="1:14" ht="15.75" thickBot="1" x14ac:dyDescent="0.3">
      <c r="A3" s="459"/>
      <c r="B3" s="461"/>
      <c r="C3" s="21" t="s">
        <v>69</v>
      </c>
      <c r="D3" s="27" t="s">
        <v>4</v>
      </c>
      <c r="E3" s="335" t="s">
        <v>5</v>
      </c>
      <c r="F3" s="27" t="s">
        <v>6</v>
      </c>
      <c r="G3" s="28" t="s">
        <v>8</v>
      </c>
      <c r="H3" s="167" t="s">
        <v>94</v>
      </c>
      <c r="I3" s="28" t="s">
        <v>9</v>
      </c>
      <c r="J3" s="337" t="s">
        <v>10</v>
      </c>
      <c r="K3" s="349" t="s">
        <v>93</v>
      </c>
      <c r="L3" s="339" t="s">
        <v>11</v>
      </c>
      <c r="M3" s="340" t="s">
        <v>96</v>
      </c>
      <c r="N3" s="463"/>
    </row>
    <row r="4" spans="1:14" ht="15.75" thickBot="1" x14ac:dyDescent="0.3">
      <c r="A4" s="30">
        <v>1</v>
      </c>
      <c r="B4" s="31" t="s">
        <v>12</v>
      </c>
      <c r="C4" s="143">
        <f>[1]STA_SP1_NO!$G$10</f>
        <v>59990.25</v>
      </c>
      <c r="D4" s="118">
        <f>[2]STA_SP1_NO!$G$10</f>
        <v>102309.71</v>
      </c>
      <c r="E4" s="143">
        <f>[3]STA_SP1_NO!$G$10</f>
        <v>7990</v>
      </c>
      <c r="F4" s="118">
        <f>[4]STA_SP1_NO!$G$10</f>
        <v>24314.66</v>
      </c>
      <c r="G4" s="61">
        <f>[5]STA_SP1_NO!$G$10</f>
        <v>67796</v>
      </c>
      <c r="H4" s="144">
        <f>[6]STA_SP1_NO!$G$10</f>
        <v>9256.91</v>
      </c>
      <c r="I4" s="61">
        <f>[7]STA_SP1_NO!$G$10</f>
        <v>28436</v>
      </c>
      <c r="J4" s="68">
        <f>[8]STA_SP1_NO!$G$10</f>
        <v>22060</v>
      </c>
      <c r="K4" s="117">
        <f>[9]STA_SP1_NO!$G$10</f>
        <v>28879.45</v>
      </c>
      <c r="L4" s="68">
        <f>[10]STA_SP1_NO!$G$10</f>
        <v>80139</v>
      </c>
      <c r="M4" s="332">
        <f>[11]STA_SP1_NO!$G$10</f>
        <v>916</v>
      </c>
      <c r="N4" s="249">
        <f t="shared" ref="N4:N21" si="0">SUM(C4:M4)</f>
        <v>432087.98</v>
      </c>
    </row>
    <row r="5" spans="1:14" ht="15.75" thickBot="1" x14ac:dyDescent="0.3">
      <c r="A5" s="32">
        <v>2</v>
      </c>
      <c r="B5" s="33" t="s">
        <v>13</v>
      </c>
      <c r="C5" s="143">
        <f>[1]STA_SP1_NO!$G$20</f>
        <v>176326.04</v>
      </c>
      <c r="D5" s="118">
        <f>[2]STA_SP1_NO!$G$20</f>
        <v>150632.25</v>
      </c>
      <c r="E5" s="143">
        <f>[3]STA_SP1_NO!$G$20</f>
        <v>11033</v>
      </c>
      <c r="F5" s="118">
        <f>[4]STA_SP1_NO!$G$20</f>
        <v>109875.6</v>
      </c>
      <c r="G5" s="61">
        <f>[5]STA_SP1_NO!$G$20</f>
        <v>152294</v>
      </c>
      <c r="H5" s="144">
        <f>[6]STA_SP1_NO!$G$20</f>
        <v>0</v>
      </c>
      <c r="I5" s="61">
        <f>[7]STA_SP1_NO!$G$20</f>
        <v>87017</v>
      </c>
      <c r="J5" s="68">
        <f>[8]STA_SP1_NO!$G$20</f>
        <v>0</v>
      </c>
      <c r="K5" s="117">
        <f>[9]STA_SP1_NO!$G$20</f>
        <v>72442.59</v>
      </c>
      <c r="L5" s="68">
        <f>[10]STA_SP1_NO!$G$20</f>
        <v>164311</v>
      </c>
      <c r="M5" s="332">
        <f>[11]STA_SP1_NO!$G$20</f>
        <v>0</v>
      </c>
      <c r="N5" s="249">
        <f t="shared" si="0"/>
        <v>923931.48</v>
      </c>
    </row>
    <row r="6" spans="1:14" ht="15.75" thickBot="1" x14ac:dyDescent="0.3">
      <c r="A6" s="32">
        <v>3</v>
      </c>
      <c r="B6" s="33" t="s">
        <v>14</v>
      </c>
      <c r="C6" s="143">
        <f>[1]STA_SP1_NO!$G$24</f>
        <v>104532.92</v>
      </c>
      <c r="D6" s="118">
        <f>[2]STA_SP1_NO!$G$24</f>
        <v>94145.94</v>
      </c>
      <c r="E6" s="143">
        <f>[3]STA_SP1_NO!$G$24</f>
        <v>42149</v>
      </c>
      <c r="F6" s="118">
        <f>[4]STA_SP1_NO!$G$24</f>
        <v>167460.01</v>
      </c>
      <c r="G6" s="61">
        <f>[5]STA_SP1_NO!$G$24</f>
        <v>69015</v>
      </c>
      <c r="H6" s="144">
        <f>[6]STA_SP1_NO!$G$24</f>
        <v>13274.39</v>
      </c>
      <c r="I6" s="61">
        <f>[7]STA_SP1_NO!$G$24</f>
        <v>53847</v>
      </c>
      <c r="J6" s="68">
        <f>[8]STA_SP1_NO!$G$24</f>
        <v>65607</v>
      </c>
      <c r="K6" s="117">
        <f>[9]STA_SP1_NO!$G$24</f>
        <v>74963.350000000006</v>
      </c>
      <c r="L6" s="68">
        <f>[10]STA_SP1_NO!$G$24</f>
        <v>64848</v>
      </c>
      <c r="M6" s="332">
        <f>[11]STA_SP1_NO!$G$24</f>
        <v>5050.09</v>
      </c>
      <c r="N6" s="249">
        <f t="shared" si="0"/>
        <v>754892.7</v>
      </c>
    </row>
    <row r="7" spans="1:14" ht="15.75" thickBot="1" x14ac:dyDescent="0.3">
      <c r="A7" s="32">
        <v>4</v>
      </c>
      <c r="B7" s="33" t="s">
        <v>15</v>
      </c>
      <c r="C7" s="143">
        <f>[1]STA_SP1_NO!$G$27</f>
        <v>0</v>
      </c>
      <c r="D7" s="118">
        <f>[2]STA_SP1_NO!$G$27</f>
        <v>0</v>
      </c>
      <c r="E7" s="143">
        <f>[3]STA_SP1_NO!$G$27</f>
        <v>0</v>
      </c>
      <c r="F7" s="118">
        <f>[4]STA_SP1_NO!$G$27</f>
        <v>0</v>
      </c>
      <c r="G7" s="61">
        <f>[5]STA_SP1_NO!$G$27</f>
        <v>0</v>
      </c>
      <c r="H7" s="144">
        <f>[6]STA_SP1_NO!$G$27</f>
        <v>0</v>
      </c>
      <c r="I7" s="61">
        <f>[7]STA_SP1_NO!$G$27</f>
        <v>0</v>
      </c>
      <c r="J7" s="68">
        <f>[8]STA_SP1_NO!$G$27</f>
        <v>0</v>
      </c>
      <c r="K7" s="117">
        <f>[9]STA_SP1_NO!$G$27</f>
        <v>0</v>
      </c>
      <c r="L7" s="68">
        <f>[10]STA_SP1_NO!$G$27</f>
        <v>0</v>
      </c>
      <c r="M7" s="332">
        <f>[11]STA_SP1_NO!$G$27</f>
        <v>0</v>
      </c>
      <c r="N7" s="249">
        <f t="shared" si="0"/>
        <v>0</v>
      </c>
    </row>
    <row r="8" spans="1:14" ht="15.75" thickBot="1" x14ac:dyDescent="0.3">
      <c r="A8" s="32">
        <v>5</v>
      </c>
      <c r="B8" s="33" t="s">
        <v>16</v>
      </c>
      <c r="C8" s="143">
        <f>[1]STA_SP1_NO!$G$30</f>
        <v>0</v>
      </c>
      <c r="D8" s="118">
        <f>[2]STA_SP1_NO!$G$30</f>
        <v>6445.56</v>
      </c>
      <c r="E8" s="143">
        <f>[3]STA_SP1_NO!$G$30</f>
        <v>0</v>
      </c>
      <c r="F8" s="118">
        <f>[4]STA_SP1_NO!$G$30</f>
        <v>0</v>
      </c>
      <c r="G8" s="61">
        <f>[5]STA_SP1_NO!$G$30</f>
        <v>0</v>
      </c>
      <c r="H8" s="144">
        <f>[6]STA_SP1_NO!$G$30</f>
        <v>0</v>
      </c>
      <c r="I8" s="61">
        <f>[7]STA_SP1_NO!$G$30</f>
        <v>0</v>
      </c>
      <c r="J8" s="68">
        <f>[8]STA_SP1_NO!$G$30</f>
        <v>0</v>
      </c>
      <c r="K8" s="117">
        <f>[9]STA_SP1_NO!$G$30</f>
        <v>0</v>
      </c>
      <c r="L8" s="68">
        <f>[10]STA_SP1_NO!$G$30</f>
        <v>0</v>
      </c>
      <c r="M8" s="332">
        <f>[11]STA_SP1_NO!$G$30</f>
        <v>0</v>
      </c>
      <c r="N8" s="249">
        <f t="shared" si="0"/>
        <v>6445.56</v>
      </c>
    </row>
    <row r="9" spans="1:14" ht="15.75" thickBot="1" x14ac:dyDescent="0.3">
      <c r="A9" s="32">
        <v>6</v>
      </c>
      <c r="B9" s="33" t="s">
        <v>17</v>
      </c>
      <c r="C9" s="143">
        <f>[1]STA_SP1_NO!$G$33</f>
        <v>0</v>
      </c>
      <c r="D9" s="118">
        <f>[2]STA_SP1_NO!$G$33</f>
        <v>0</v>
      </c>
      <c r="E9" s="143">
        <f>[3]STA_SP1_NO!$G$33</f>
        <v>0</v>
      </c>
      <c r="F9" s="118">
        <f>[4]STA_SP1_NO!$G$33</f>
        <v>39.82</v>
      </c>
      <c r="G9" s="61">
        <f>[5]STA_SP1_NO!$G$33</f>
        <v>0</v>
      </c>
      <c r="H9" s="144">
        <f>[6]STA_SP1_NO!$G$33</f>
        <v>0</v>
      </c>
      <c r="I9" s="61">
        <f>[7]STA_SP1_NO!$G$33</f>
        <v>0</v>
      </c>
      <c r="J9" s="68">
        <f>[8]STA_SP1_NO!$G$33</f>
        <v>0</v>
      </c>
      <c r="K9" s="117">
        <f>[9]STA_SP1_NO!$G$33</f>
        <v>1854.17</v>
      </c>
      <c r="L9" s="68">
        <f>[10]STA_SP1_NO!$G$33</f>
        <v>0</v>
      </c>
      <c r="M9" s="332">
        <f>[11]STA_SP1_NO!$G$33</f>
        <v>0</v>
      </c>
      <c r="N9" s="249">
        <f t="shared" si="0"/>
        <v>1893.99</v>
      </c>
    </row>
    <row r="10" spans="1:14" ht="15.75" thickBot="1" x14ac:dyDescent="0.3">
      <c r="A10" s="32">
        <v>7</v>
      </c>
      <c r="B10" s="33" t="s">
        <v>18</v>
      </c>
      <c r="C10" s="143">
        <f>[1]STA_SP1_NO!$G$36</f>
        <v>305.27</v>
      </c>
      <c r="D10" s="118">
        <f>[2]STA_SP1_NO!$G$36</f>
        <v>51661.24</v>
      </c>
      <c r="E10" s="143">
        <f>[3]STA_SP1_NO!$G$36</f>
        <v>36</v>
      </c>
      <c r="F10" s="118">
        <f>[4]STA_SP1_NO!$G$36</f>
        <v>5.96</v>
      </c>
      <c r="G10" s="61">
        <f>[5]STA_SP1_NO!$G$36</f>
        <v>0</v>
      </c>
      <c r="H10" s="144">
        <f>[6]STA_SP1_NO!$G$36</f>
        <v>0</v>
      </c>
      <c r="I10" s="61">
        <f>[7]STA_SP1_NO!$G$36</f>
        <v>163</v>
      </c>
      <c r="J10" s="68">
        <f>[8]STA_SP1_NO!$G$36</f>
        <v>0</v>
      </c>
      <c r="K10" s="117">
        <f>[9]STA_SP1_NO!$G$36</f>
        <v>0</v>
      </c>
      <c r="L10" s="68">
        <f>[10]STA_SP1_NO!$G$36</f>
        <v>744</v>
      </c>
      <c r="M10" s="332">
        <f>[11]STA_SP1_NO!$G$36</f>
        <v>0</v>
      </c>
      <c r="N10" s="249">
        <f t="shared" si="0"/>
        <v>52915.469999999994</v>
      </c>
    </row>
    <row r="11" spans="1:14" ht="15.75" thickBot="1" x14ac:dyDescent="0.3">
      <c r="A11" s="32">
        <v>8</v>
      </c>
      <c r="B11" s="33" t="s">
        <v>19</v>
      </c>
      <c r="C11" s="143">
        <f>[1]STA_SP1_NO!$G$40</f>
        <v>69750.45</v>
      </c>
      <c r="D11" s="118">
        <f>[2]STA_SP1_NO!$G$40</f>
        <v>7342.86</v>
      </c>
      <c r="E11" s="143">
        <f>[3]STA_SP1_NO!$G$40</f>
        <v>970</v>
      </c>
      <c r="F11" s="118">
        <f>[4]STA_SP1_NO!$G$40</f>
        <v>210729.48</v>
      </c>
      <c r="G11" s="61">
        <f>[5]STA_SP1_NO!$G$40</f>
        <v>50187</v>
      </c>
      <c r="H11" s="144">
        <f>[6]STA_SP1_NO!$G$40</f>
        <v>206.46</v>
      </c>
      <c r="I11" s="61">
        <f>[7]STA_SP1_NO!$G$40</f>
        <v>14799</v>
      </c>
      <c r="J11" s="68">
        <f>[8]STA_SP1_NO!$G$40</f>
        <v>7426</v>
      </c>
      <c r="K11" s="117">
        <f>[9]STA_SP1_NO!$G$40</f>
        <v>16182.01</v>
      </c>
      <c r="L11" s="68">
        <f>[10]STA_SP1_NO!$G$40</f>
        <v>8191</v>
      </c>
      <c r="M11" s="332">
        <f>[11]STA_SP1_NO!$G$40</f>
        <v>0</v>
      </c>
      <c r="N11" s="249">
        <f t="shared" si="0"/>
        <v>385784.26000000007</v>
      </c>
    </row>
    <row r="12" spans="1:14" ht="15.75" thickBot="1" x14ac:dyDescent="0.3">
      <c r="A12" s="32">
        <v>9</v>
      </c>
      <c r="B12" s="33" t="s">
        <v>20</v>
      </c>
      <c r="C12" s="143">
        <f>[1]STA_SP1_NO!$G$56</f>
        <v>101616.28</v>
      </c>
      <c r="D12" s="118">
        <f>[2]STA_SP1_NO!$G$56</f>
        <v>37098.870000000003</v>
      </c>
      <c r="E12" s="143">
        <f>[3]STA_SP1_NO!$G$56</f>
        <v>22686</v>
      </c>
      <c r="F12" s="118">
        <f>[4]STA_SP1_NO!$G$56</f>
        <v>68332.11</v>
      </c>
      <c r="G12" s="61">
        <f>[5]STA_SP1_NO!$G$56</f>
        <v>5021</v>
      </c>
      <c r="H12" s="144">
        <f>[6]STA_SP1_NO!$G$56</f>
        <v>654.32000000000005</v>
      </c>
      <c r="I12" s="61">
        <f>[7]STA_SP1_NO!$G$56</f>
        <v>58345</v>
      </c>
      <c r="J12" s="68">
        <f>[8]STA_SP1_NO!$G$56</f>
        <v>7410</v>
      </c>
      <c r="K12" s="117">
        <f>[9]STA_SP1_NO!$G$56</f>
        <v>5077</v>
      </c>
      <c r="L12" s="68">
        <f>[10]STA_SP1_NO!$G$56</f>
        <v>56834</v>
      </c>
      <c r="M12" s="332">
        <f>[11]STA_SP1_NO!$G$56</f>
        <v>72.67</v>
      </c>
      <c r="N12" s="249">
        <f t="shared" si="0"/>
        <v>363147.25</v>
      </c>
    </row>
    <row r="13" spans="1:14" ht="15.75" thickBot="1" x14ac:dyDescent="0.3">
      <c r="A13" s="32">
        <v>10</v>
      </c>
      <c r="B13" s="33" t="s">
        <v>21</v>
      </c>
      <c r="C13" s="143">
        <f>[1]STA_SP1_NO!$G$88</f>
        <v>438540.07</v>
      </c>
      <c r="D13" s="118">
        <f>[2]STA_SP1_NO!$G$88</f>
        <v>211514.68</v>
      </c>
      <c r="E13" s="143">
        <f>[3]STA_SP1_NO!$G$88</f>
        <v>146714</v>
      </c>
      <c r="F13" s="118">
        <f>[4]STA_SP1_NO!$G$88</f>
        <v>226612.39</v>
      </c>
      <c r="G13" s="61">
        <f>[5]STA_SP1_NO!$G$88</f>
        <v>199028</v>
      </c>
      <c r="H13" s="144">
        <f>[6]STA_SP1_NO!$G$88</f>
        <v>233266.43</v>
      </c>
      <c r="I13" s="61">
        <f>[7]STA_SP1_NO!$G$88</f>
        <v>409096</v>
      </c>
      <c r="J13" s="68">
        <f>[8]STA_SP1_NO!$G$88</f>
        <v>203224</v>
      </c>
      <c r="K13" s="117">
        <f>[9]STA_SP1_NO!$G$88</f>
        <v>202993.46</v>
      </c>
      <c r="L13" s="68">
        <f>[10]STA_SP1_NO!$G$88</f>
        <v>235245</v>
      </c>
      <c r="M13" s="332">
        <f>[11]STA_SP1_NO!$G$88</f>
        <v>16033.63</v>
      </c>
      <c r="N13" s="249">
        <f t="shared" si="0"/>
        <v>2522267.66</v>
      </c>
    </row>
    <row r="14" spans="1:14" ht="15.75" thickBot="1" x14ac:dyDescent="0.3">
      <c r="A14" s="32">
        <v>11</v>
      </c>
      <c r="B14" s="33" t="s">
        <v>22</v>
      </c>
      <c r="C14" s="143">
        <f>[1]STA_SP1_NO!$G$124</f>
        <v>0</v>
      </c>
      <c r="D14" s="118">
        <f>[2]STA_SP1_NO!$G$124</f>
        <v>0</v>
      </c>
      <c r="E14" s="143">
        <f>[3]STA_SP1_NO!$G$124</f>
        <v>0</v>
      </c>
      <c r="F14" s="118">
        <f>[4]STA_SP1_NO!$G$124</f>
        <v>0</v>
      </c>
      <c r="G14" s="61">
        <f>[5]STA_SP1_NO!$G$124</f>
        <v>0</v>
      </c>
      <c r="H14" s="144">
        <f>[6]STA_SP1_NO!$G$124</f>
        <v>0</v>
      </c>
      <c r="I14" s="61">
        <f>[7]STA_SP1_NO!$G$124</f>
        <v>0</v>
      </c>
      <c r="J14" s="68">
        <f>[8]STA_SP1_NO!$G$124</f>
        <v>0</v>
      </c>
      <c r="K14" s="117">
        <f>[9]STA_SP1_NO!$G$124</f>
        <v>0</v>
      </c>
      <c r="L14" s="68">
        <f>[10]STA_SP1_NO!$G$124</f>
        <v>0</v>
      </c>
      <c r="M14" s="332">
        <f>[11]STA_SP1_NO!$G$124</f>
        <v>0</v>
      </c>
      <c r="N14" s="249">
        <f t="shared" si="0"/>
        <v>0</v>
      </c>
    </row>
    <row r="15" spans="1:14" ht="15.75" thickBot="1" x14ac:dyDescent="0.3">
      <c r="A15" s="32">
        <v>12</v>
      </c>
      <c r="B15" s="33" t="s">
        <v>23</v>
      </c>
      <c r="C15" s="143">
        <f>[1]STA_SP1_NO!$G$128</f>
        <v>0</v>
      </c>
      <c r="D15" s="118">
        <f>[2]STA_SP1_NO!$G$128</f>
        <v>0</v>
      </c>
      <c r="E15" s="143">
        <f>[3]STA_SP1_NO!$G$128</f>
        <v>0</v>
      </c>
      <c r="F15" s="118">
        <f>[4]STA_SP1_NO!$G$128</f>
        <v>62.92</v>
      </c>
      <c r="G15" s="61">
        <f>[5]STA_SP1_NO!$G$128</f>
        <v>0</v>
      </c>
      <c r="H15" s="144">
        <f>[6]STA_SP1_NO!$G$128</f>
        <v>0</v>
      </c>
      <c r="I15" s="61">
        <f>[7]STA_SP1_NO!$G$128</f>
        <v>0</v>
      </c>
      <c r="J15" s="68">
        <f>[8]STA_SP1_NO!$G$128</f>
        <v>0</v>
      </c>
      <c r="K15" s="117">
        <f>[9]STA_SP1_NO!$G$128</f>
        <v>0</v>
      </c>
      <c r="L15" s="68">
        <f>[10]STA_SP1_NO!$G$128</f>
        <v>0</v>
      </c>
      <c r="M15" s="332">
        <f>[11]STA_SP1_NO!$G$128</f>
        <v>0</v>
      </c>
      <c r="N15" s="249">
        <f t="shared" si="0"/>
        <v>62.92</v>
      </c>
    </row>
    <row r="16" spans="1:14" ht="15.75" thickBot="1" x14ac:dyDescent="0.3">
      <c r="A16" s="32">
        <v>13</v>
      </c>
      <c r="B16" s="33" t="s">
        <v>24</v>
      </c>
      <c r="C16" s="143">
        <f>[1]STA_SP1_NO!$G$132</f>
        <v>6273.46</v>
      </c>
      <c r="D16" s="118">
        <f>[2]STA_SP1_NO!$G$132</f>
        <v>910.55</v>
      </c>
      <c r="E16" s="143">
        <f>[3]STA_SP1_NO!$G$132</f>
        <v>404</v>
      </c>
      <c r="F16" s="118">
        <f>[4]STA_SP1_NO!$G$132</f>
        <v>2142.6999999999998</v>
      </c>
      <c r="G16" s="61">
        <f>[5]STA_SP1_NO!$G$132</f>
        <v>3151</v>
      </c>
      <c r="H16" s="144">
        <f>[6]STA_SP1_NO!$G$132</f>
        <v>90.81</v>
      </c>
      <c r="I16" s="61">
        <f>[7]STA_SP1_NO!$G$132</f>
        <v>1868</v>
      </c>
      <c r="J16" s="68">
        <f>[8]STA_SP1_NO!$G$132</f>
        <v>4167</v>
      </c>
      <c r="K16" s="117">
        <f>[9]STA_SP1_NO!$G$132</f>
        <v>601.02</v>
      </c>
      <c r="L16" s="68">
        <f>[10]STA_SP1_NO!$G$132</f>
        <v>1176</v>
      </c>
      <c r="M16" s="332">
        <f>[11]STA_SP1_NO!$G$132</f>
        <v>0</v>
      </c>
      <c r="N16" s="249">
        <f t="shared" si="0"/>
        <v>20784.539999999997</v>
      </c>
    </row>
    <row r="17" spans="1:14" ht="15.75" thickBot="1" x14ac:dyDescent="0.3">
      <c r="A17" s="32">
        <v>14</v>
      </c>
      <c r="B17" s="33" t="s">
        <v>25</v>
      </c>
      <c r="C17" s="143">
        <f>[1]STA_SP1_NO!$G$153</f>
        <v>323.44</v>
      </c>
      <c r="D17" s="118">
        <f>[2]STA_SP1_NO!$G$153</f>
        <v>1081.75</v>
      </c>
      <c r="E17" s="143">
        <f>[3]STA_SP1_NO!$G$153</f>
        <v>0</v>
      </c>
      <c r="F17" s="118">
        <f>[4]STA_SP1_NO!$G$153</f>
        <v>0</v>
      </c>
      <c r="G17" s="61">
        <f>[5]STA_SP1_NO!$G$153</f>
        <v>0</v>
      </c>
      <c r="H17" s="144">
        <f>[6]STA_SP1_NO!$G$153</f>
        <v>0</v>
      </c>
      <c r="I17" s="61">
        <f>[7]STA_SP1_NO!$G$153</f>
        <v>0</v>
      </c>
      <c r="J17" s="68">
        <f>[8]STA_SP1_NO!$G$153</f>
        <v>0</v>
      </c>
      <c r="K17" s="117">
        <f>[9]STA_SP1_NO!$G$153</f>
        <v>27.93</v>
      </c>
      <c r="L17" s="68">
        <f>[10]STA_SP1_NO!$G$153</f>
        <v>9</v>
      </c>
      <c r="M17" s="332">
        <f>[11]STA_SP1_NO!$G$153</f>
        <v>0</v>
      </c>
      <c r="N17" s="249">
        <f t="shared" si="0"/>
        <v>1442.1200000000001</v>
      </c>
    </row>
    <row r="18" spans="1:14" ht="15.75" thickBot="1" x14ac:dyDescent="0.3">
      <c r="A18" s="32">
        <v>15</v>
      </c>
      <c r="B18" s="33" t="s">
        <v>26</v>
      </c>
      <c r="C18" s="143">
        <f>[1]STA_SP1_NO!$G$158</f>
        <v>0</v>
      </c>
      <c r="D18" s="118">
        <f>[2]STA_SP1_NO!$G$158</f>
        <v>0</v>
      </c>
      <c r="E18" s="143">
        <f>[3]STA_SP1_NO!$G$158</f>
        <v>0</v>
      </c>
      <c r="F18" s="118">
        <f>[4]STA_SP1_NO!$G$158</f>
        <v>0</v>
      </c>
      <c r="G18" s="61">
        <f>[5]STA_SP1_NO!$G$158</f>
        <v>0</v>
      </c>
      <c r="H18" s="144">
        <f>[6]STA_SP1_NO!$G$158</f>
        <v>0</v>
      </c>
      <c r="I18" s="61">
        <f>[7]STA_SP1_NO!$G$158</f>
        <v>0</v>
      </c>
      <c r="J18" s="68">
        <f>[8]STA_SP1_NO!$G$158</f>
        <v>0</v>
      </c>
      <c r="K18" s="117">
        <f>[9]STA_SP1_NO!$G$158</f>
        <v>0</v>
      </c>
      <c r="L18" s="68">
        <f>[10]STA_SP1_NO!$G$158</f>
        <v>0</v>
      </c>
      <c r="M18" s="332">
        <f>[11]STA_SP1_NO!$G$158</f>
        <v>0</v>
      </c>
      <c r="N18" s="249">
        <f t="shared" si="0"/>
        <v>0</v>
      </c>
    </row>
    <row r="19" spans="1:14" ht="15.75" thickBot="1" x14ac:dyDescent="0.3">
      <c r="A19" s="32">
        <v>16</v>
      </c>
      <c r="B19" s="33" t="s">
        <v>27</v>
      </c>
      <c r="C19" s="143">
        <f>[1]STA_SP1_NO!$G$161</f>
        <v>30.19</v>
      </c>
      <c r="D19" s="118">
        <f>[2]STA_SP1_NO!$G$161</f>
        <v>0</v>
      </c>
      <c r="E19" s="143">
        <f>[3]STA_SP1_NO!$G$161</f>
        <v>0</v>
      </c>
      <c r="F19" s="118">
        <f>[4]STA_SP1_NO!$G$161</f>
        <v>5284.61</v>
      </c>
      <c r="G19" s="61">
        <f>[5]STA_SP1_NO!$G$161</f>
        <v>0</v>
      </c>
      <c r="H19" s="144">
        <f>[6]STA_SP1_NO!$G$161</f>
        <v>0</v>
      </c>
      <c r="I19" s="61">
        <f>[7]STA_SP1_NO!$G$161</f>
        <v>294</v>
      </c>
      <c r="J19" s="68">
        <f>[8]STA_SP1_NO!$G$161</f>
        <v>0</v>
      </c>
      <c r="K19" s="117">
        <f>[9]STA_SP1_NO!$G$161</f>
        <v>0</v>
      </c>
      <c r="L19" s="68">
        <f>[10]STA_SP1_NO!$G$161</f>
        <v>0</v>
      </c>
      <c r="M19" s="332">
        <f>[11]STA_SP1_NO!$G$161</f>
        <v>0</v>
      </c>
      <c r="N19" s="249">
        <f t="shared" si="0"/>
        <v>5608.7999999999993</v>
      </c>
    </row>
    <row r="20" spans="1:14" ht="15.75" thickBot="1" x14ac:dyDescent="0.3">
      <c r="A20" s="32">
        <v>17</v>
      </c>
      <c r="B20" s="33" t="s">
        <v>28</v>
      </c>
      <c r="C20" s="143">
        <f>[1]STA_SP1_NO!$G$167</f>
        <v>0</v>
      </c>
      <c r="D20" s="118">
        <f>[2]STA_SP1_NO!$G$167</f>
        <v>0</v>
      </c>
      <c r="E20" s="143">
        <f>[3]STA_SP1_NO!$G$167</f>
        <v>0</v>
      </c>
      <c r="F20" s="118">
        <f>[4]STA_SP1_NO!$G$167</f>
        <v>0</v>
      </c>
      <c r="G20" s="61">
        <f>[5]STA_SP1_NO!$G$167</f>
        <v>0</v>
      </c>
      <c r="H20" s="144">
        <f>[6]STA_SP1_NO!$G$167</f>
        <v>0</v>
      </c>
      <c r="I20" s="61">
        <f>[7]STA_SP1_NO!$G$167</f>
        <v>0</v>
      </c>
      <c r="J20" s="68">
        <f>[8]STA_SP1_NO!$G$167</f>
        <v>0</v>
      </c>
      <c r="K20" s="117">
        <f>[9]STA_SP1_NO!$G$167</f>
        <v>0</v>
      </c>
      <c r="L20" s="68">
        <f>[10]STA_SP1_NO!$G$167</f>
        <v>0</v>
      </c>
      <c r="M20" s="332">
        <f>[11]STA_SP1_NO!$G$167</f>
        <v>0</v>
      </c>
      <c r="N20" s="249">
        <f t="shared" si="0"/>
        <v>0</v>
      </c>
    </row>
    <row r="21" spans="1:14" ht="15.75" thickBot="1" x14ac:dyDescent="0.3">
      <c r="A21" s="34">
        <v>18</v>
      </c>
      <c r="B21" s="35" t="s">
        <v>29</v>
      </c>
      <c r="C21" s="143">
        <f>[1]STA_SP1_NO!$G$170</f>
        <v>9060.6299999999992</v>
      </c>
      <c r="D21" s="118">
        <f>[2]STA_SP1_NO!$G$170</f>
        <v>26388.43</v>
      </c>
      <c r="E21" s="143">
        <f>[3]STA_SP1_NO!$G$170</f>
        <v>4205</v>
      </c>
      <c r="F21" s="118">
        <f>[4]STA_SP1_NO!$G$170</f>
        <v>24251.88</v>
      </c>
      <c r="G21" s="61">
        <f>[5]STA_SP1_NO!$G$170</f>
        <v>17090</v>
      </c>
      <c r="H21" s="144">
        <f>[6]STA_SP1_NO!$G$170</f>
        <v>1304.1600000000001</v>
      </c>
      <c r="I21" s="61">
        <f>[7]STA_SP1_NO!$G$170</f>
        <v>6968</v>
      </c>
      <c r="J21" s="68">
        <f>[8]STA_SP1_NO!$G$170</f>
        <v>6395</v>
      </c>
      <c r="K21" s="117">
        <f>[9]STA_SP1_NO!$G$170</f>
        <v>3189.91</v>
      </c>
      <c r="L21" s="68">
        <f>[10]STA_SP1_NO!$G$170</f>
        <v>6694</v>
      </c>
      <c r="M21" s="332">
        <f>[11]STA_SP1_NO!$G$170</f>
        <v>105.17</v>
      </c>
      <c r="N21" s="249">
        <f t="shared" si="0"/>
        <v>105652.18000000001</v>
      </c>
    </row>
    <row r="22" spans="1:14" ht="15.75" thickBot="1" x14ac:dyDescent="0.3">
      <c r="A22" s="36"/>
      <c r="B22" s="37" t="s">
        <v>37</v>
      </c>
      <c r="C22" s="110">
        <f t="shared" ref="C22:N22" si="1">SUM(C4:C21)</f>
        <v>966748.99999999988</v>
      </c>
      <c r="D22" s="39">
        <f t="shared" si="1"/>
        <v>689531.84000000008</v>
      </c>
      <c r="E22" s="40">
        <f t="shared" si="1"/>
        <v>236187</v>
      </c>
      <c r="F22" s="39">
        <f t="shared" si="1"/>
        <v>839112.14</v>
      </c>
      <c r="G22" s="41">
        <f t="shared" si="1"/>
        <v>563582</v>
      </c>
      <c r="H22" s="42">
        <f t="shared" si="1"/>
        <v>258053.47999999998</v>
      </c>
      <c r="I22" s="41">
        <f t="shared" si="1"/>
        <v>660833</v>
      </c>
      <c r="J22" s="338">
        <f t="shared" si="1"/>
        <v>316289</v>
      </c>
      <c r="K22" s="350">
        <f t="shared" si="1"/>
        <v>406210.89</v>
      </c>
      <c r="L22" s="42">
        <f t="shared" si="1"/>
        <v>618191</v>
      </c>
      <c r="M22" s="333">
        <f t="shared" si="1"/>
        <v>22177.559999999998</v>
      </c>
      <c r="N22" s="250">
        <f t="shared" si="1"/>
        <v>5576916.9100000011</v>
      </c>
    </row>
    <row r="23" spans="1:14" ht="15.75" thickBot="1" x14ac:dyDescent="0.3">
      <c r="A23" s="43"/>
      <c r="B23" s="44"/>
      <c r="C23" s="45"/>
      <c r="D23" s="46"/>
      <c r="E23" s="46"/>
      <c r="F23" s="46"/>
      <c r="G23" s="46"/>
      <c r="H23" s="46"/>
      <c r="I23" s="46"/>
      <c r="J23" s="46"/>
      <c r="K23" s="46"/>
      <c r="L23" s="46"/>
      <c r="M23" s="341"/>
      <c r="N23" s="46"/>
    </row>
    <row r="24" spans="1:14" ht="15.75" thickBot="1" x14ac:dyDescent="0.3">
      <c r="A24" s="467" t="s">
        <v>31</v>
      </c>
      <c r="B24" s="468"/>
      <c r="C24" s="48">
        <f>C22/N22</f>
        <v>0.1733482882390657</v>
      </c>
      <c r="D24" s="47">
        <f>D22/N22</f>
        <v>0.12364032872062281</v>
      </c>
      <c r="E24" s="48">
        <f>E22/N22</f>
        <v>4.235081924503694E-2</v>
      </c>
      <c r="F24" s="47">
        <f>F22/N22</f>
        <v>0.1504616535518726</v>
      </c>
      <c r="G24" s="48">
        <f>G22/N22</f>
        <v>0.10105619450586362</v>
      </c>
      <c r="H24" s="336">
        <f>H22/N22</f>
        <v>4.627170964969602E-2</v>
      </c>
      <c r="I24" s="48">
        <f>I22/N22</f>
        <v>0.11849432413365468</v>
      </c>
      <c r="J24" s="47">
        <f>J22/N22</f>
        <v>5.6713952369069801E-2</v>
      </c>
      <c r="K24" s="161">
        <f>K22/N22</f>
        <v>7.2837895302262978E-2</v>
      </c>
      <c r="L24" s="47">
        <f>L22/N22</f>
        <v>0.11084816395444555</v>
      </c>
      <c r="M24" s="342">
        <f>M22/N22</f>
        <v>3.9766703284091053E-3</v>
      </c>
      <c r="N24" s="251">
        <f>SUM(C24:M24)</f>
        <v>0.99999999999999978</v>
      </c>
    </row>
    <row r="25" spans="1:14" ht="15.75" thickBo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4" ht="15.75" thickBot="1" x14ac:dyDescent="0.3">
      <c r="A26" s="473" t="s">
        <v>0</v>
      </c>
      <c r="B26" s="475" t="s">
        <v>1</v>
      </c>
      <c r="C26" s="448" t="s">
        <v>90</v>
      </c>
      <c r="D26" s="449"/>
      <c r="E26" s="449"/>
      <c r="F26" s="449"/>
      <c r="G26" s="449"/>
      <c r="H26" s="450"/>
      <c r="I26" s="429" t="s">
        <v>3</v>
      </c>
      <c r="J26" s="162"/>
      <c r="K26" s="1"/>
      <c r="L26" s="1"/>
      <c r="M26" s="1"/>
      <c r="N26" s="1"/>
    </row>
    <row r="27" spans="1:14" ht="15.75" thickBot="1" x14ac:dyDescent="0.3">
      <c r="A27" s="474"/>
      <c r="B27" s="476"/>
      <c r="C27" s="180" t="s">
        <v>11</v>
      </c>
      <c r="D27" s="181" t="s">
        <v>32</v>
      </c>
      <c r="E27" s="180" t="s">
        <v>7</v>
      </c>
      <c r="F27" s="181" t="s">
        <v>9</v>
      </c>
      <c r="G27" s="182" t="s">
        <v>4</v>
      </c>
      <c r="H27" s="211" t="s">
        <v>95</v>
      </c>
      <c r="I27" s="430"/>
      <c r="J27" s="81"/>
      <c r="K27" s="477" t="s">
        <v>33</v>
      </c>
      <c r="L27" s="478"/>
      <c r="M27" s="232">
        <f>N22</f>
        <v>5576916.9100000011</v>
      </c>
      <c r="N27" s="233">
        <f>M27/M29</f>
        <v>0.82046055892809788</v>
      </c>
    </row>
    <row r="28" spans="1:14" ht="15.75" thickBot="1" x14ac:dyDescent="0.3">
      <c r="A28" s="184">
        <v>19</v>
      </c>
      <c r="B28" s="185" t="s">
        <v>34</v>
      </c>
      <c r="C28" s="183">
        <f>[12]STA_SP2_ZO!$N$51+[12]STA_SP2_ZO!$O$51</f>
        <v>516214</v>
      </c>
      <c r="D28" s="343">
        <f>[13]STA_SP2_ZO!$N$51+[13]STA_SP2_ZO!$O$51</f>
        <v>273557</v>
      </c>
      <c r="E28" s="183">
        <f>[14]STA_SP2_ZO!$O$51</f>
        <v>156492</v>
      </c>
      <c r="F28" s="186">
        <f>[15]STA_SP2_ZO!$N$51+[15]STA_SP2_ZO!$O$51</f>
        <v>78460</v>
      </c>
      <c r="G28" s="187">
        <f>[16]STA_SP2_ZO!$N$51+[16]STA_SP2_ZO!$O$51</f>
        <v>194812.99</v>
      </c>
      <c r="H28" s="188">
        <f>[17]STA_SP2_ZO!$N$51+[17]STA_SP2_ZO!$O$51</f>
        <v>847.53</v>
      </c>
      <c r="I28" s="230">
        <f>SUM(C28:H28)</f>
        <v>1220383.52</v>
      </c>
      <c r="J28" s="81"/>
      <c r="K28" s="469" t="s">
        <v>34</v>
      </c>
      <c r="L28" s="470"/>
      <c r="M28" s="234">
        <f>I28</f>
        <v>1220383.52</v>
      </c>
      <c r="N28" s="235">
        <f>M28/M29</f>
        <v>0.17953944107190209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71" t="s">
        <v>3</v>
      </c>
      <c r="L29" s="472"/>
      <c r="M29" s="236">
        <f>M27+M28</f>
        <v>6797300.4300000016</v>
      </c>
      <c r="N29" s="237">
        <f>M29/M29</f>
        <v>1</v>
      </c>
    </row>
    <row r="30" spans="1:14" ht="15.75" thickBot="1" x14ac:dyDescent="0.3">
      <c r="A30" s="427" t="s">
        <v>35</v>
      </c>
      <c r="B30" s="428"/>
      <c r="C30" s="23">
        <f>C28/I28</f>
        <v>0.42299325707053137</v>
      </c>
      <c r="D30" s="82">
        <f>D28/I28</f>
        <v>0.22415658316985468</v>
      </c>
      <c r="E30" s="23">
        <f>E28/I28</f>
        <v>0.12823182010848524</v>
      </c>
      <c r="F30" s="82">
        <f>F28/I28</f>
        <v>6.4291264765686112E-2</v>
      </c>
      <c r="G30" s="23">
        <f>G28/I28</f>
        <v>0.15963259648081776</v>
      </c>
      <c r="H30" s="82">
        <f>H28/I28</f>
        <v>6.9447840462480187E-4</v>
      </c>
      <c r="I30" s="231">
        <f>I28/I28</f>
        <v>1</v>
      </c>
      <c r="J30" s="1"/>
      <c r="K30" s="1"/>
      <c r="L30" s="1"/>
      <c r="M30" s="1"/>
      <c r="N30" s="1"/>
    </row>
    <row r="35" spans="4:4" x14ac:dyDescent="0.25">
      <c r="D35" s="163"/>
    </row>
  </sheetData>
  <mergeCells count="14">
    <mergeCell ref="A24:B24"/>
    <mergeCell ref="K28:L28"/>
    <mergeCell ref="K29:L29"/>
    <mergeCell ref="A30:B30"/>
    <mergeCell ref="A26:A27"/>
    <mergeCell ref="B26:B27"/>
    <mergeCell ref="K27:L27"/>
    <mergeCell ref="I26:I27"/>
    <mergeCell ref="C26:H26"/>
    <mergeCell ref="C1:K1"/>
    <mergeCell ref="A2:A3"/>
    <mergeCell ref="B2:B3"/>
    <mergeCell ref="N2:N3"/>
    <mergeCell ref="C2:M2"/>
  </mergeCells>
  <pageMargins left="0.25" right="0.25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G35" sqref="G35"/>
    </sheetView>
  </sheetViews>
  <sheetFormatPr defaultRowHeight="15" x14ac:dyDescent="0.25"/>
  <cols>
    <col min="1" max="1" width="4.42578125" customWidth="1"/>
    <col min="2" max="2" width="28.42578125" customWidth="1"/>
    <col min="8" max="8" width="9.85546875" bestFit="1" customWidth="1"/>
  </cols>
  <sheetData>
    <row r="1" spans="1:14" ht="33" customHeight="1" thickBot="1" x14ac:dyDescent="0.3">
      <c r="A1" s="120"/>
      <c r="B1" s="120"/>
      <c r="C1" s="455" t="s">
        <v>100</v>
      </c>
      <c r="D1" s="456"/>
      <c r="E1" s="456"/>
      <c r="F1" s="456"/>
      <c r="G1" s="456"/>
      <c r="H1" s="456"/>
      <c r="I1" s="456"/>
      <c r="J1" s="457"/>
      <c r="K1" s="457"/>
      <c r="L1" s="26"/>
      <c r="M1" s="26"/>
      <c r="N1" s="26"/>
    </row>
    <row r="2" spans="1:14" ht="15.75" thickBot="1" x14ac:dyDescent="0.3">
      <c r="A2" s="458" t="s">
        <v>0</v>
      </c>
      <c r="B2" s="460" t="s">
        <v>1</v>
      </c>
      <c r="C2" s="484" t="s">
        <v>2</v>
      </c>
      <c r="D2" s="485"/>
      <c r="E2" s="485"/>
      <c r="F2" s="485"/>
      <c r="G2" s="485"/>
      <c r="H2" s="485"/>
      <c r="I2" s="485"/>
      <c r="J2" s="485"/>
      <c r="K2" s="485"/>
      <c r="L2" s="485"/>
      <c r="M2" s="486"/>
      <c r="N2" s="462" t="s">
        <v>3</v>
      </c>
    </row>
    <row r="3" spans="1:14" ht="15.75" thickBot="1" x14ac:dyDescent="0.3">
      <c r="A3" s="459"/>
      <c r="B3" s="461"/>
      <c r="C3" s="226" t="s">
        <v>69</v>
      </c>
      <c r="D3" s="246" t="s">
        <v>4</v>
      </c>
      <c r="E3" s="247" t="s">
        <v>5</v>
      </c>
      <c r="F3" s="246" t="s">
        <v>6</v>
      </c>
      <c r="G3" s="248" t="s">
        <v>8</v>
      </c>
      <c r="H3" s="252" t="s">
        <v>94</v>
      </c>
      <c r="I3" s="248" t="s">
        <v>9</v>
      </c>
      <c r="J3" s="345" t="s">
        <v>10</v>
      </c>
      <c r="K3" s="228" t="s">
        <v>93</v>
      </c>
      <c r="L3" s="254" t="s">
        <v>11</v>
      </c>
      <c r="M3" s="346" t="s">
        <v>96</v>
      </c>
      <c r="N3" s="463"/>
    </row>
    <row r="4" spans="1:14" x14ac:dyDescent="0.25">
      <c r="A4" s="30">
        <v>1</v>
      </c>
      <c r="B4" s="31" t="s">
        <v>12</v>
      </c>
      <c r="C4" s="143">
        <f>[1]STA_SP1_NO!$F$10</f>
        <v>1179</v>
      </c>
      <c r="D4" s="118">
        <f>[2]STA_SP1_NO!$F$10</f>
        <v>969</v>
      </c>
      <c r="E4" s="143">
        <f>[3]STA_SP1_NO!$F$10</f>
        <v>257</v>
      </c>
      <c r="F4" s="118">
        <f>[4]STA_SP1_NO!$F$10</f>
        <v>1054</v>
      </c>
      <c r="G4" s="61">
        <f>[5]STA_SP1_NO!$F$10</f>
        <v>1331</v>
      </c>
      <c r="H4" s="144">
        <f>[6]STA_SP1_NO!$F$10</f>
        <v>486</v>
      </c>
      <c r="I4" s="61">
        <f>[7]STA_SP1_NO!$F$10</f>
        <v>764</v>
      </c>
      <c r="J4" s="68">
        <f>[8]STA_SP1_NO!$F$10</f>
        <v>478</v>
      </c>
      <c r="K4" s="61">
        <f>[9]STA_SP1_NO!$F$10</f>
        <v>569</v>
      </c>
      <c r="L4" s="68">
        <f>[10]STA_SP1_NO!$F$10</f>
        <v>1497</v>
      </c>
      <c r="M4" s="332">
        <f>[11]STA_SP1_NO!$F$10</f>
        <v>7</v>
      </c>
      <c r="N4" s="249">
        <f t="shared" ref="N4:N21" si="0">SUM(C4:M4)</f>
        <v>8591</v>
      </c>
    </row>
    <row r="5" spans="1:14" x14ac:dyDescent="0.25">
      <c r="A5" s="32">
        <v>2</v>
      </c>
      <c r="B5" s="33" t="s">
        <v>13</v>
      </c>
      <c r="C5" s="143">
        <f>[1]STA_SP1_NO!$F$20</f>
        <v>19030</v>
      </c>
      <c r="D5" s="118">
        <f>[2]STA_SP1_NO!$F$20</f>
        <v>14794</v>
      </c>
      <c r="E5" s="143">
        <f>[3]STA_SP1_NO!$F$20</f>
        <v>1245</v>
      </c>
      <c r="F5" s="118">
        <f>[4]STA_SP1_NO!$F$20</f>
        <v>6665</v>
      </c>
      <c r="G5" s="61">
        <f>[5]STA_SP1_NO!$F$20</f>
        <v>13411</v>
      </c>
      <c r="H5" s="144">
        <f>[6]STA_SP1_NO!$F$20</f>
        <v>0</v>
      </c>
      <c r="I5" s="61">
        <f>[7]STA_SP1_NO!$F$20</f>
        <v>7146</v>
      </c>
      <c r="J5" s="68">
        <f>[8]STA_SP1_NO!$F$20</f>
        <v>0</v>
      </c>
      <c r="K5" s="61">
        <f>[9]STA_SP1_NO!$F$20</f>
        <v>6777</v>
      </c>
      <c r="L5" s="68">
        <f>[10]STA_SP1_NO!$F$20</f>
        <v>17559</v>
      </c>
      <c r="M5" s="332">
        <f>[11]STA_SP1_NO!$F$20</f>
        <v>0</v>
      </c>
      <c r="N5" s="249">
        <f t="shared" si="0"/>
        <v>86627</v>
      </c>
    </row>
    <row r="6" spans="1:14" x14ac:dyDescent="0.25">
      <c r="A6" s="32">
        <v>3</v>
      </c>
      <c r="B6" s="33" t="s">
        <v>14</v>
      </c>
      <c r="C6" s="143">
        <f>[1]STA_SP1_NO!$F$24</f>
        <v>1062</v>
      </c>
      <c r="D6" s="118">
        <f>[2]STA_SP1_NO!$F$24</f>
        <v>1089</v>
      </c>
      <c r="E6" s="143">
        <f>[3]STA_SP1_NO!$F$24</f>
        <v>614</v>
      </c>
      <c r="F6" s="118">
        <f>[4]STA_SP1_NO!$F$24</f>
        <v>1478</v>
      </c>
      <c r="G6" s="61">
        <f>[5]STA_SP1_NO!$F$24</f>
        <v>735</v>
      </c>
      <c r="H6" s="144">
        <f>[6]STA_SP1_NO!$F$24</f>
        <v>172</v>
      </c>
      <c r="I6" s="61">
        <f>[7]STA_SP1_NO!$F$24</f>
        <v>641</v>
      </c>
      <c r="J6" s="68">
        <f>[8]STA_SP1_NO!$F$24</f>
        <v>720</v>
      </c>
      <c r="K6" s="61">
        <f>[9]STA_SP1_NO!$F$24</f>
        <v>754</v>
      </c>
      <c r="L6" s="68">
        <f>[10]STA_SP1_NO!$F$24</f>
        <v>735</v>
      </c>
      <c r="M6" s="332">
        <f>[11]STA_SP1_NO!$F$24</f>
        <v>24</v>
      </c>
      <c r="N6" s="249">
        <f t="shared" si="0"/>
        <v>8024</v>
      </c>
    </row>
    <row r="7" spans="1:14" x14ac:dyDescent="0.25">
      <c r="A7" s="32">
        <v>4</v>
      </c>
      <c r="B7" s="33" t="s">
        <v>15</v>
      </c>
      <c r="C7" s="143">
        <f>[1]STA_SP1_NO!$F$27</f>
        <v>0</v>
      </c>
      <c r="D7" s="118">
        <f>[2]STA_SP1_NO!$F$27</f>
        <v>0</v>
      </c>
      <c r="E7" s="143">
        <f>[3]STA_SP1_NO!$F$27</f>
        <v>0</v>
      </c>
      <c r="F7" s="118">
        <f>[4]STA_SP1_NO!$F$27</f>
        <v>0</v>
      </c>
      <c r="G7" s="61">
        <f>[5]STA_SP1_NO!$F$27</f>
        <v>0</v>
      </c>
      <c r="H7" s="144">
        <f>[6]STA_SP1_NO!$F$27</f>
        <v>0</v>
      </c>
      <c r="I7" s="61">
        <f>[7]STA_SP1_NO!$F$27</f>
        <v>0</v>
      </c>
      <c r="J7" s="68">
        <f>[8]STA_SP1_NO!$F$27</f>
        <v>0</v>
      </c>
      <c r="K7" s="61">
        <f>[9]STA_SP1_NO!$F$27</f>
        <v>0</v>
      </c>
      <c r="L7" s="68">
        <f>[10]STA_SP1_NO!$F$27</f>
        <v>0</v>
      </c>
      <c r="M7" s="332">
        <f>[11]STA_SP1_NO!$F$27</f>
        <v>0</v>
      </c>
      <c r="N7" s="249">
        <f t="shared" si="0"/>
        <v>0</v>
      </c>
    </row>
    <row r="8" spans="1:14" x14ac:dyDescent="0.25">
      <c r="A8" s="32">
        <v>5</v>
      </c>
      <c r="B8" s="33" t="s">
        <v>16</v>
      </c>
      <c r="C8" s="143">
        <f>[1]STA_SP1_NO!$F$30</f>
        <v>0</v>
      </c>
      <c r="D8" s="118">
        <f>[2]STA_SP1_NO!$F$30</f>
        <v>1</v>
      </c>
      <c r="E8" s="143">
        <f>[3]STA_SP1_NO!$F$30</f>
        <v>0</v>
      </c>
      <c r="F8" s="118">
        <f>[4]STA_SP1_NO!$F$30</f>
        <v>0</v>
      </c>
      <c r="G8" s="61">
        <f>[5]STA_SP1_NO!$F$30</f>
        <v>0</v>
      </c>
      <c r="H8" s="144">
        <f>[6]STA_SP1_NO!$F$30</f>
        <v>0</v>
      </c>
      <c r="I8" s="61">
        <f>[7]STA_SP1_NO!$F$30</f>
        <v>0</v>
      </c>
      <c r="J8" s="68">
        <f>[8]STA_SP1_NO!$F$30</f>
        <v>0</v>
      </c>
      <c r="K8" s="61">
        <f>[9]STA_SP1_NO!$F$30</f>
        <v>0</v>
      </c>
      <c r="L8" s="68">
        <f>[10]STA_SP1_NO!$F$30</f>
        <v>0</v>
      </c>
      <c r="M8" s="332">
        <f>[11]STA_SP1_NO!$F$30</f>
        <v>0</v>
      </c>
      <c r="N8" s="249">
        <f t="shared" si="0"/>
        <v>1</v>
      </c>
    </row>
    <row r="9" spans="1:14" x14ac:dyDescent="0.25">
      <c r="A9" s="32">
        <v>6</v>
      </c>
      <c r="B9" s="33" t="s">
        <v>17</v>
      </c>
      <c r="C9" s="143">
        <f>[1]STA_SP1_NO!$F$33</f>
        <v>0</v>
      </c>
      <c r="D9" s="118">
        <f>[2]STA_SP1_NO!$F$33</f>
        <v>0</v>
      </c>
      <c r="E9" s="143">
        <f>[3]STA_SP1_NO!$F$33</f>
        <v>0</v>
      </c>
      <c r="F9" s="118">
        <f>[4]STA_SP1_NO!$F$33</f>
        <v>1</v>
      </c>
      <c r="G9" s="61">
        <f>[5]STA_SP1_NO!$F$33</f>
        <v>0</v>
      </c>
      <c r="H9" s="144">
        <f>[6]STA_SP1_NO!$F$33</f>
        <v>0</v>
      </c>
      <c r="I9" s="61">
        <f>[7]STA_SP1_NO!$F$33</f>
        <v>0</v>
      </c>
      <c r="J9" s="68">
        <f>[8]STA_SP1_NO!$F$33</f>
        <v>0</v>
      </c>
      <c r="K9" s="61">
        <f>[9]STA_SP1_NO!$F$33</f>
        <v>1</v>
      </c>
      <c r="L9" s="68">
        <f>[10]STA_SP1_NO!$F$33</f>
        <v>0</v>
      </c>
      <c r="M9" s="332">
        <f>[11]STA_SP1_NO!$F$33</f>
        <v>0</v>
      </c>
      <c r="N9" s="249">
        <f t="shared" si="0"/>
        <v>2</v>
      </c>
    </row>
    <row r="10" spans="1:14" x14ac:dyDescent="0.25">
      <c r="A10" s="32">
        <v>7</v>
      </c>
      <c r="B10" s="33" t="s">
        <v>18</v>
      </c>
      <c r="C10" s="143">
        <f>[1]STA_SP1_NO!$F$36</f>
        <v>5</v>
      </c>
      <c r="D10" s="118">
        <f>[2]STA_SP1_NO!$F$36</f>
        <v>4</v>
      </c>
      <c r="E10" s="143">
        <f>[3]STA_SP1_NO!$F$36</f>
        <v>1</v>
      </c>
      <c r="F10" s="118">
        <f>[4]STA_SP1_NO!$F$36</f>
        <v>2</v>
      </c>
      <c r="G10" s="61">
        <f>[5]STA_SP1_NO!$F$36</f>
        <v>0</v>
      </c>
      <c r="H10" s="144">
        <f>[6]STA_SP1_NO!$F$36</f>
        <v>0</v>
      </c>
      <c r="I10" s="61">
        <f>[7]STA_SP1_NO!$F$36</f>
        <v>11</v>
      </c>
      <c r="J10" s="68">
        <f>[8]STA_SP1_NO!$F$36</f>
        <v>0</v>
      </c>
      <c r="K10" s="61">
        <f>[9]STA_SP1_NO!$F$36</f>
        <v>0</v>
      </c>
      <c r="L10" s="68">
        <f>[10]STA_SP1_NO!$F$36</f>
        <v>1</v>
      </c>
      <c r="M10" s="332">
        <f>[11]STA_SP1_NO!$F$36</f>
        <v>0</v>
      </c>
      <c r="N10" s="249">
        <f t="shared" si="0"/>
        <v>24</v>
      </c>
    </row>
    <row r="11" spans="1:14" x14ac:dyDescent="0.25">
      <c r="A11" s="32">
        <v>8</v>
      </c>
      <c r="B11" s="33" t="s">
        <v>19</v>
      </c>
      <c r="C11" s="143">
        <f>[1]STA_SP1_NO!$F$40</f>
        <v>79</v>
      </c>
      <c r="D11" s="118">
        <f>[2]STA_SP1_NO!$F$40</f>
        <v>56</v>
      </c>
      <c r="E11" s="143">
        <f>[3]STA_SP1_NO!$F$40</f>
        <v>17</v>
      </c>
      <c r="F11" s="118">
        <f>[4]STA_SP1_NO!$F$40</f>
        <v>150</v>
      </c>
      <c r="G11" s="61">
        <f>[5]STA_SP1_NO!$F$40</f>
        <v>399</v>
      </c>
      <c r="H11" s="144">
        <f>[6]STA_SP1_NO!$F$40</f>
        <v>5</v>
      </c>
      <c r="I11" s="61">
        <f>[7]STA_SP1_NO!$F$40</f>
        <v>24</v>
      </c>
      <c r="J11" s="68">
        <f>[8]STA_SP1_NO!$F$40</f>
        <v>73</v>
      </c>
      <c r="K11" s="61">
        <f>[9]STA_SP1_NO!$F$40</f>
        <v>36</v>
      </c>
      <c r="L11" s="68">
        <f>[10]STA_SP1_NO!$F$40</f>
        <v>41</v>
      </c>
      <c r="M11" s="332">
        <f>[11]STA_SP1_NO!$F$40</f>
        <v>0</v>
      </c>
      <c r="N11" s="249">
        <f t="shared" si="0"/>
        <v>880</v>
      </c>
    </row>
    <row r="12" spans="1:14" x14ac:dyDescent="0.25">
      <c r="A12" s="32">
        <v>9</v>
      </c>
      <c r="B12" s="33" t="s">
        <v>20</v>
      </c>
      <c r="C12" s="143">
        <f>[1]STA_SP1_NO!$F$56</f>
        <v>1014</v>
      </c>
      <c r="D12" s="118">
        <f>[2]STA_SP1_NO!$F$56</f>
        <v>945</v>
      </c>
      <c r="E12" s="143">
        <f>[3]STA_SP1_NO!$F$56</f>
        <v>338</v>
      </c>
      <c r="F12" s="118">
        <f>[4]STA_SP1_NO!$F$56</f>
        <v>1130</v>
      </c>
      <c r="G12" s="61">
        <f>[5]STA_SP1_NO!$F$56</f>
        <v>126</v>
      </c>
      <c r="H12" s="144">
        <f>[6]STA_SP1_NO!$F$56</f>
        <v>5</v>
      </c>
      <c r="I12" s="61">
        <f>[7]STA_SP1_NO!$F$56</f>
        <v>346</v>
      </c>
      <c r="J12" s="68">
        <f>[8]STA_SP1_NO!$F$56</f>
        <v>132</v>
      </c>
      <c r="K12" s="61">
        <f>[9]STA_SP1_NO!$F$56</f>
        <v>158</v>
      </c>
      <c r="L12" s="68">
        <f>[10]STA_SP1_NO!$F$56</f>
        <v>318</v>
      </c>
      <c r="M12" s="332">
        <f>[11]STA_SP1_NO!$F$56</f>
        <v>4</v>
      </c>
      <c r="N12" s="249">
        <f t="shared" si="0"/>
        <v>4516</v>
      </c>
    </row>
    <row r="13" spans="1:14" x14ac:dyDescent="0.25">
      <c r="A13" s="32">
        <v>10</v>
      </c>
      <c r="B13" s="33" t="s">
        <v>21</v>
      </c>
      <c r="C13" s="143">
        <f>[1]STA_SP1_NO!$F$88</f>
        <v>5164</v>
      </c>
      <c r="D13" s="118">
        <f>[2]STA_SP1_NO!$F$88</f>
        <v>2575</v>
      </c>
      <c r="E13" s="143">
        <f>[3]STA_SP1_NO!$F$88</f>
        <v>2024</v>
      </c>
      <c r="F13" s="118">
        <f>[4]STA_SP1_NO!$F$88</f>
        <v>2829</v>
      </c>
      <c r="G13" s="61">
        <f>[5]STA_SP1_NO!$F$88</f>
        <v>2455</v>
      </c>
      <c r="H13" s="144">
        <f>[6]STA_SP1_NO!$F$88</f>
        <v>3621</v>
      </c>
      <c r="I13" s="61">
        <f>[7]STA_SP1_NO!$F$88</f>
        <v>5708</v>
      </c>
      <c r="J13" s="68">
        <f>[8]STA_SP1_NO!$F$88</f>
        <v>2765</v>
      </c>
      <c r="K13" s="61">
        <f>[9]STA_SP1_NO!$F$88</f>
        <v>2011</v>
      </c>
      <c r="L13" s="68">
        <f>[10]STA_SP1_NO!$F$88</f>
        <v>3335</v>
      </c>
      <c r="M13" s="332">
        <f>[11]STA_SP1_NO!$F$88</f>
        <v>238</v>
      </c>
      <c r="N13" s="249">
        <f t="shared" si="0"/>
        <v>32725</v>
      </c>
    </row>
    <row r="14" spans="1:14" x14ac:dyDescent="0.25">
      <c r="A14" s="32">
        <v>11</v>
      </c>
      <c r="B14" s="33" t="s">
        <v>22</v>
      </c>
      <c r="C14" s="143">
        <f>[1]STA_SP1_NO!$F$124</f>
        <v>0</v>
      </c>
      <c r="D14" s="118">
        <f>[2]STA_SP1_NO!$F$124</f>
        <v>0</v>
      </c>
      <c r="E14" s="143">
        <f>[3]STA_SP1_NO!$F$124</f>
        <v>0</v>
      </c>
      <c r="F14" s="118">
        <f>[4]STA_SP1_NO!$F$124</f>
        <v>0</v>
      </c>
      <c r="G14" s="61">
        <f>[5]STA_SP1_NO!$F$124</f>
        <v>0</v>
      </c>
      <c r="H14" s="144">
        <f>[6]STA_SP1_NO!$F$124</f>
        <v>0</v>
      </c>
      <c r="I14" s="61">
        <f>[7]STA_SP1_NO!$F$124</f>
        <v>0</v>
      </c>
      <c r="J14" s="68">
        <f>[8]STA_SP1_NO!$F$124</f>
        <v>0</v>
      </c>
      <c r="K14" s="61">
        <f>[9]STA_SP1_NO!$F$124</f>
        <v>0</v>
      </c>
      <c r="L14" s="68">
        <f>[10]STA_SP1_NO!$F$124</f>
        <v>0</v>
      </c>
      <c r="M14" s="332">
        <f>[11]STA_SP1_NO!$F$124</f>
        <v>0</v>
      </c>
      <c r="N14" s="249">
        <f t="shared" si="0"/>
        <v>0</v>
      </c>
    </row>
    <row r="15" spans="1:14" x14ac:dyDescent="0.25">
      <c r="A15" s="32">
        <v>12</v>
      </c>
      <c r="B15" s="33" t="s">
        <v>23</v>
      </c>
      <c r="C15" s="143">
        <f>[1]STA_SP1_NO!$F$128</f>
        <v>0</v>
      </c>
      <c r="D15" s="118">
        <f>[2]STA_SP1_NO!$F$128</f>
        <v>0</v>
      </c>
      <c r="E15" s="143">
        <f>[3]STA_SP1_NO!$F$128</f>
        <v>0</v>
      </c>
      <c r="F15" s="118">
        <f>[4]STA_SP1_NO!$F$128</f>
        <v>2</v>
      </c>
      <c r="G15" s="61">
        <f>[5]STA_SP1_NO!$F$128</f>
        <v>0</v>
      </c>
      <c r="H15" s="144">
        <f>[6]STA_SP1_NO!$F$128</f>
        <v>0</v>
      </c>
      <c r="I15" s="61">
        <f>[7]STA_SP1_NO!$F$128</f>
        <v>0</v>
      </c>
      <c r="J15" s="68">
        <f>[8]STA_SP1_NO!$F$128</f>
        <v>0</v>
      </c>
      <c r="K15" s="61">
        <f>[9]STA_SP1_NO!$F$128</f>
        <v>0</v>
      </c>
      <c r="L15" s="68">
        <f>[10]STA_SP1_NO!$F$128</f>
        <v>0</v>
      </c>
      <c r="M15" s="332">
        <f>[11]STA_SP1_NO!$F$128</f>
        <v>0</v>
      </c>
      <c r="N15" s="249">
        <f t="shared" si="0"/>
        <v>2</v>
      </c>
    </row>
    <row r="16" spans="1:14" x14ac:dyDescent="0.25">
      <c r="A16" s="32">
        <v>13</v>
      </c>
      <c r="B16" s="33" t="s">
        <v>24</v>
      </c>
      <c r="C16" s="143">
        <f>[1]STA_SP1_NO!$F$132</f>
        <v>128</v>
      </c>
      <c r="D16" s="118">
        <f>[2]STA_SP1_NO!$F$132</f>
        <v>16</v>
      </c>
      <c r="E16" s="143">
        <f>[3]STA_SP1_NO!$F$132</f>
        <v>24</v>
      </c>
      <c r="F16" s="118">
        <f>[4]STA_SP1_NO!$F$132</f>
        <v>34</v>
      </c>
      <c r="G16" s="61">
        <f>[5]STA_SP1_NO!$F$132</f>
        <v>62</v>
      </c>
      <c r="H16" s="144">
        <f>[6]STA_SP1_NO!$F$132</f>
        <v>2</v>
      </c>
      <c r="I16" s="61">
        <f>[7]STA_SP1_NO!$F$132</f>
        <v>13</v>
      </c>
      <c r="J16" s="68">
        <f>[8]STA_SP1_NO!$F$132</f>
        <v>56</v>
      </c>
      <c r="K16" s="61">
        <f>[9]STA_SP1_NO!$F$132</f>
        <v>7</v>
      </c>
      <c r="L16" s="68">
        <f>[10]STA_SP1_NO!$F$132</f>
        <v>28</v>
      </c>
      <c r="M16" s="332">
        <f>[11]STA_SP1_NO!$F$132</f>
        <v>0</v>
      </c>
      <c r="N16" s="249">
        <f t="shared" si="0"/>
        <v>370</v>
      </c>
    </row>
    <row r="17" spans="1:14" x14ac:dyDescent="0.25">
      <c r="A17" s="32">
        <v>14</v>
      </c>
      <c r="B17" s="33" t="s">
        <v>25</v>
      </c>
      <c r="C17" s="143">
        <f>[1]STA_SP1_NO!$F$153</f>
        <v>3</v>
      </c>
      <c r="D17" s="118">
        <f>[2]STA_SP1_NO!$F$153</f>
        <v>40</v>
      </c>
      <c r="E17" s="143">
        <f>[3]STA_SP1_NO!$F$153</f>
        <v>0</v>
      </c>
      <c r="F17" s="118">
        <f>[4]STA_SP1_NO!$F$153</f>
        <v>0</v>
      </c>
      <c r="G17" s="61">
        <f>[5]STA_SP1_NO!$F$153</f>
        <v>0</v>
      </c>
      <c r="H17" s="144">
        <f>[6]STA_SP1_NO!$F$153</f>
        <v>0</v>
      </c>
      <c r="I17" s="61">
        <f>[7]STA_SP1_NO!$F$153</f>
        <v>0</v>
      </c>
      <c r="J17" s="68">
        <f>[8]STA_SP1_NO!$F$153</f>
        <v>0</v>
      </c>
      <c r="K17" s="61">
        <f>[9]STA_SP1_NO!$F$153</f>
        <v>1</v>
      </c>
      <c r="L17" s="68">
        <f>[10]STA_SP1_NO!$F$153</f>
        <v>1</v>
      </c>
      <c r="M17" s="332">
        <f>[11]STA_SP1_NO!$F$153</f>
        <v>0</v>
      </c>
      <c r="N17" s="249">
        <f t="shared" si="0"/>
        <v>45</v>
      </c>
    </row>
    <row r="18" spans="1:14" x14ac:dyDescent="0.25">
      <c r="A18" s="32">
        <v>15</v>
      </c>
      <c r="B18" s="33" t="s">
        <v>26</v>
      </c>
      <c r="C18" s="143">
        <f>[1]STA_SP1_NO!$F$158</f>
        <v>0</v>
      </c>
      <c r="D18" s="118">
        <f>[2]STA_SP1_NO!$F$158</f>
        <v>0</v>
      </c>
      <c r="E18" s="143">
        <f>[3]STA_SP1_NO!$F$158</f>
        <v>0</v>
      </c>
      <c r="F18" s="118">
        <f>[4]STA_SP1_NO!$F$158</f>
        <v>0</v>
      </c>
      <c r="G18" s="61">
        <f>[5]STA_SP1_NO!$F$158</f>
        <v>0</v>
      </c>
      <c r="H18" s="144">
        <f>[6]STA_SP1_NO!$F$158</f>
        <v>0</v>
      </c>
      <c r="I18" s="61">
        <f>[7]STA_SP1_NO!$F$158</f>
        <v>0</v>
      </c>
      <c r="J18" s="68">
        <f>[8]STA_SP1_NO!$F$158</f>
        <v>0</v>
      </c>
      <c r="K18" s="61">
        <f>[9]STA_SP1_NO!$F$158</f>
        <v>0</v>
      </c>
      <c r="L18" s="68">
        <f>[10]STA_SP1_NO!$F$158</f>
        <v>0</v>
      </c>
      <c r="M18" s="332">
        <f>[11]STA_SP1_NO!$F$158</f>
        <v>0</v>
      </c>
      <c r="N18" s="249">
        <f t="shared" si="0"/>
        <v>0</v>
      </c>
    </row>
    <row r="19" spans="1:14" x14ac:dyDescent="0.25">
      <c r="A19" s="32">
        <v>16</v>
      </c>
      <c r="B19" s="33" t="s">
        <v>27</v>
      </c>
      <c r="C19" s="143">
        <f>[1]STA_SP1_NO!$F$161</f>
        <v>36</v>
      </c>
      <c r="D19" s="118">
        <f>[2]STA_SP1_NO!$F$161</f>
        <v>0</v>
      </c>
      <c r="E19" s="143">
        <f>[3]STA_SP1_NO!$F$161</f>
        <v>0</v>
      </c>
      <c r="F19" s="118">
        <f>[4]STA_SP1_NO!$F$161</f>
        <v>7</v>
      </c>
      <c r="G19" s="61">
        <f>[5]STA_SP1_NO!$F$161</f>
        <v>0</v>
      </c>
      <c r="H19" s="144">
        <f>[6]STA_SP1_NO!$F$161</f>
        <v>0</v>
      </c>
      <c r="I19" s="61">
        <f>[7]STA_SP1_NO!$F$161</f>
        <v>1</v>
      </c>
      <c r="J19" s="68">
        <f>[8]STA_SP1_NO!$F$161</f>
        <v>0</v>
      </c>
      <c r="K19" s="61">
        <f>[9]STA_SP1_NO!$F$161</f>
        <v>0</v>
      </c>
      <c r="L19" s="68">
        <f>[10]STA_SP1_NO!$F$161</f>
        <v>0</v>
      </c>
      <c r="M19" s="332">
        <f>[11]STA_SP1_NO!$F$161</f>
        <v>0</v>
      </c>
      <c r="N19" s="249">
        <f t="shared" si="0"/>
        <v>44</v>
      </c>
    </row>
    <row r="20" spans="1:14" x14ac:dyDescent="0.25">
      <c r="A20" s="32">
        <v>17</v>
      </c>
      <c r="B20" s="33" t="s">
        <v>28</v>
      </c>
      <c r="C20" s="143">
        <f>[1]STA_SP1_NO!$F$167</f>
        <v>0</v>
      </c>
      <c r="D20" s="118">
        <f>[2]STA_SP1_NO!$F$167</f>
        <v>0</v>
      </c>
      <c r="E20" s="143">
        <f>[3]STA_SP1_NO!$F$167</f>
        <v>0</v>
      </c>
      <c r="F20" s="118">
        <f>[4]STA_SP1_NO!$F$167</f>
        <v>0</v>
      </c>
      <c r="G20" s="61">
        <f>[5]STA_SP1_NO!$F$167</f>
        <v>0</v>
      </c>
      <c r="H20" s="144">
        <f>[6]STA_SP1_NO!$F$167</f>
        <v>0</v>
      </c>
      <c r="I20" s="61">
        <f>[7]STA_SP1_NO!$F$167</f>
        <v>0</v>
      </c>
      <c r="J20" s="68">
        <f>[8]STA_SP1_NO!$F$167</f>
        <v>0</v>
      </c>
      <c r="K20" s="61">
        <f>[9]STA_SP1_NO!$F$167</f>
        <v>0</v>
      </c>
      <c r="L20" s="68">
        <f>[10]STA_SP1_NO!$F$167</f>
        <v>0</v>
      </c>
      <c r="M20" s="332">
        <f>[11]STA_SP1_NO!$F$167</f>
        <v>0</v>
      </c>
      <c r="N20" s="249">
        <f t="shared" si="0"/>
        <v>0</v>
      </c>
    </row>
    <row r="21" spans="1:14" ht="15.75" thickBot="1" x14ac:dyDescent="0.3">
      <c r="A21" s="34">
        <v>18</v>
      </c>
      <c r="B21" s="35" t="s">
        <v>29</v>
      </c>
      <c r="C21" s="143">
        <f>[1]STA_SP1_NO!$F$170</f>
        <v>347</v>
      </c>
      <c r="D21" s="118">
        <f>[2]STA_SP1_NO!$F$170</f>
        <v>1381</v>
      </c>
      <c r="E21" s="143">
        <f>[3]STA_SP1_NO!$F$170</f>
        <v>146</v>
      </c>
      <c r="F21" s="118">
        <f>[4]STA_SP1_NO!$F$170</f>
        <v>1015</v>
      </c>
      <c r="G21" s="61">
        <f>[5]STA_SP1_NO!$F$170</f>
        <v>619</v>
      </c>
      <c r="H21" s="144">
        <f>[6]STA_SP1_NO!$F$170</f>
        <v>78</v>
      </c>
      <c r="I21" s="61">
        <f>[7]STA_SP1_NO!$F$170</f>
        <v>322</v>
      </c>
      <c r="J21" s="68">
        <f>[8]STA_SP1_NO!$F$170</f>
        <v>330</v>
      </c>
      <c r="K21" s="61">
        <f>[9]STA_SP1_NO!$F$170</f>
        <v>130</v>
      </c>
      <c r="L21" s="68">
        <f>[10]STA_SP1_NO!$F$170</f>
        <v>368</v>
      </c>
      <c r="M21" s="332">
        <f>[11]STA_SP1_NO!$F$170</f>
        <v>19</v>
      </c>
      <c r="N21" s="249">
        <f t="shared" si="0"/>
        <v>4755</v>
      </c>
    </row>
    <row r="22" spans="1:14" ht="15.75" thickBot="1" x14ac:dyDescent="0.3">
      <c r="A22" s="36"/>
      <c r="B22" s="37" t="s">
        <v>3</v>
      </c>
      <c r="C22" s="38">
        <f>SUM(C4:C21)</f>
        <v>28047</v>
      </c>
      <c r="D22" s="51">
        <f>SUM(D4:D21)</f>
        <v>21870</v>
      </c>
      <c r="E22" s="69">
        <f t="shared" ref="E22:F22" si="1">SUM(E4:E21)</f>
        <v>4666</v>
      </c>
      <c r="F22" s="39">
        <f t="shared" si="1"/>
        <v>14367</v>
      </c>
      <c r="G22" s="41">
        <f t="shared" ref="G22:N22" si="2">SUM(G4:G21)</f>
        <v>19138</v>
      </c>
      <c r="H22" s="42">
        <f t="shared" si="2"/>
        <v>4369</v>
      </c>
      <c r="I22" s="41">
        <f t="shared" si="2"/>
        <v>14976</v>
      </c>
      <c r="J22" s="42">
        <f t="shared" si="2"/>
        <v>4554</v>
      </c>
      <c r="K22" s="41">
        <f t="shared" si="2"/>
        <v>10444</v>
      </c>
      <c r="L22" s="42">
        <f t="shared" si="2"/>
        <v>23883</v>
      </c>
      <c r="M22" s="347">
        <f t="shared" si="2"/>
        <v>292</v>
      </c>
      <c r="N22" s="250">
        <f t="shared" si="2"/>
        <v>146606</v>
      </c>
    </row>
    <row r="23" spans="1:14" ht="15.75" thickBot="1" x14ac:dyDescent="0.3">
      <c r="A23" s="43"/>
      <c r="B23" s="44"/>
      <c r="C23" s="46"/>
      <c r="D23" s="58"/>
      <c r="E23" s="58"/>
      <c r="F23" s="46"/>
      <c r="G23" s="46"/>
      <c r="H23" s="46"/>
      <c r="I23" s="46"/>
      <c r="J23" s="46"/>
      <c r="K23" s="46"/>
      <c r="L23" s="46"/>
      <c r="M23" s="348"/>
      <c r="N23" s="46"/>
    </row>
    <row r="24" spans="1:14" ht="15.75" thickBot="1" x14ac:dyDescent="0.3">
      <c r="A24" s="467" t="s">
        <v>31</v>
      </c>
      <c r="B24" s="468"/>
      <c r="C24" s="48">
        <f>C22/N22</f>
        <v>0.19130867768031323</v>
      </c>
      <c r="D24" s="47">
        <f>D22/N22</f>
        <v>0.14917534070911151</v>
      </c>
      <c r="E24" s="48">
        <f>E22/N22</f>
        <v>3.1826801085903716E-2</v>
      </c>
      <c r="F24" s="47">
        <f>F22/N22</f>
        <v>9.7997353450745533E-2</v>
      </c>
      <c r="G24" s="48">
        <f>G22/N22</f>
        <v>0.13054035987613058</v>
      </c>
      <c r="H24" s="47">
        <f>H22/N22</f>
        <v>2.9800963125656523E-2</v>
      </c>
      <c r="I24" s="48">
        <f>I22/N22</f>
        <v>0.10215134441973725</v>
      </c>
      <c r="J24" s="47">
        <f>J22/N22</f>
        <v>3.1062848723790296E-2</v>
      </c>
      <c r="K24" s="48">
        <f>K22/N22</f>
        <v>7.1238557767076383E-2</v>
      </c>
      <c r="L24" s="336">
        <f>L22/N22</f>
        <v>0.1629060202174536</v>
      </c>
      <c r="M24" s="342">
        <f>M22/N22</f>
        <v>1.9917329440814154E-3</v>
      </c>
      <c r="N24" s="251">
        <f>N22/N22</f>
        <v>1</v>
      </c>
    </row>
    <row r="25" spans="1:14" ht="15.75" thickBo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4" ht="15.75" thickBot="1" x14ac:dyDescent="0.3">
      <c r="A26" s="422" t="s">
        <v>0</v>
      </c>
      <c r="B26" s="424" t="s">
        <v>1</v>
      </c>
      <c r="C26" s="481" t="s">
        <v>90</v>
      </c>
      <c r="D26" s="482"/>
      <c r="E26" s="482"/>
      <c r="F26" s="482"/>
      <c r="G26" s="482"/>
      <c r="H26" s="483"/>
      <c r="I26" s="479" t="s">
        <v>3</v>
      </c>
      <c r="J26" s="1"/>
      <c r="K26" s="1"/>
      <c r="L26" s="1"/>
      <c r="M26" s="1"/>
      <c r="N26" s="1"/>
    </row>
    <row r="27" spans="1:14" ht="15.75" thickBot="1" x14ac:dyDescent="0.3">
      <c r="A27" s="423"/>
      <c r="B27" s="426"/>
      <c r="C27" s="189" t="s">
        <v>11</v>
      </c>
      <c r="D27" s="215" t="s">
        <v>32</v>
      </c>
      <c r="E27" s="191" t="s">
        <v>7</v>
      </c>
      <c r="F27" s="127" t="s">
        <v>9</v>
      </c>
      <c r="G27" s="213" t="s">
        <v>4</v>
      </c>
      <c r="H27" s="253" t="s">
        <v>95</v>
      </c>
      <c r="I27" s="480"/>
      <c r="J27" s="81"/>
      <c r="K27" s="477" t="s">
        <v>33</v>
      </c>
      <c r="L27" s="478"/>
      <c r="M27" s="232">
        <f>N22</f>
        <v>146606</v>
      </c>
      <c r="N27" s="233">
        <f>M27/M29</f>
        <v>0.96200056431557046</v>
      </c>
    </row>
    <row r="28" spans="1:14" ht="15.75" thickBot="1" x14ac:dyDescent="0.3">
      <c r="A28" s="22">
        <v>19</v>
      </c>
      <c r="B28" s="80" t="s">
        <v>34</v>
      </c>
      <c r="C28" s="190">
        <f>[12]STA_SP2_ZO!$L$51</f>
        <v>2534</v>
      </c>
      <c r="D28" s="192">
        <f>[13]STA_SP2_ZO!$L$51</f>
        <v>1190</v>
      </c>
      <c r="E28" s="196">
        <f>[14]STA_SP2_ZO!$L$51</f>
        <v>808</v>
      </c>
      <c r="F28" s="50">
        <f>[15]STA_SP2_ZO!$L$51</f>
        <v>482</v>
      </c>
      <c r="G28" s="115">
        <f>[16]STA_SP2_ZO!$L$51</f>
        <v>770</v>
      </c>
      <c r="H28" s="214">
        <f>[17]STA_SP2_ZO!$L$51</f>
        <v>7</v>
      </c>
      <c r="I28" s="244">
        <f>SUM(C28:H28)</f>
        <v>5791</v>
      </c>
      <c r="J28" s="81"/>
      <c r="K28" s="469" t="s">
        <v>34</v>
      </c>
      <c r="L28" s="470"/>
      <c r="M28" s="234">
        <f>I28</f>
        <v>5791</v>
      </c>
      <c r="N28" s="235">
        <f>M28/M29</f>
        <v>3.7999435684429483E-2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71" t="s">
        <v>3</v>
      </c>
      <c r="L29" s="472"/>
      <c r="M29" s="236">
        <f>M27+M28</f>
        <v>152397</v>
      </c>
      <c r="N29" s="237">
        <f>M29/M29</f>
        <v>1</v>
      </c>
    </row>
    <row r="30" spans="1:14" ht="15.75" thickBot="1" x14ac:dyDescent="0.3">
      <c r="A30" s="427" t="s">
        <v>35</v>
      </c>
      <c r="B30" s="428"/>
      <c r="C30" s="23">
        <f>C28/I28</f>
        <v>0.43757554826454842</v>
      </c>
      <c r="D30" s="82">
        <f>D28/I28</f>
        <v>0.20549127957174926</v>
      </c>
      <c r="E30" s="23">
        <f>E28/I28</f>
        <v>0.13952685201174236</v>
      </c>
      <c r="F30" s="82">
        <f>F28/I28</f>
        <v>8.3232602313935422E-2</v>
      </c>
      <c r="G30" s="23">
        <f>G28/I28</f>
        <v>0.13296494560524952</v>
      </c>
      <c r="H30" s="82">
        <f>H28/I28</f>
        <v>1.2087722327749958E-3</v>
      </c>
      <c r="I30" s="231">
        <f>I28/I28</f>
        <v>1</v>
      </c>
      <c r="J30" s="1"/>
      <c r="K30" s="1"/>
      <c r="L30" s="1"/>
      <c r="M30" s="1"/>
      <c r="N30" s="1"/>
    </row>
    <row r="31" spans="1:14" x14ac:dyDescent="0.25">
      <c r="H31" s="1"/>
    </row>
    <row r="32" spans="1:14" x14ac:dyDescent="0.25">
      <c r="D32" s="163"/>
    </row>
  </sheetData>
  <mergeCells count="14">
    <mergeCell ref="N2:N3"/>
    <mergeCell ref="A30:B30"/>
    <mergeCell ref="K28:L28"/>
    <mergeCell ref="C1:K1"/>
    <mergeCell ref="A2:A3"/>
    <mergeCell ref="B2:B3"/>
    <mergeCell ref="A24:B24"/>
    <mergeCell ref="A26:A27"/>
    <mergeCell ref="B26:B27"/>
    <mergeCell ref="K27:L27"/>
    <mergeCell ref="K29:L29"/>
    <mergeCell ref="I26:I27"/>
    <mergeCell ref="C26:H26"/>
    <mergeCell ref="C2:M2"/>
  </mergeCells>
  <pageMargins left="0.25" right="0.25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H34" sqref="H34"/>
    </sheetView>
  </sheetViews>
  <sheetFormatPr defaultRowHeight="15" x14ac:dyDescent="0.25"/>
  <cols>
    <col min="1" max="1" width="4.5703125" customWidth="1"/>
    <col min="2" max="2" width="27.85546875" customWidth="1"/>
    <col min="8" max="8" width="9.5703125" customWidth="1"/>
  </cols>
  <sheetData>
    <row r="1" spans="1:14" ht="28.5" customHeight="1" thickBot="1" x14ac:dyDescent="0.3">
      <c r="A1" s="120"/>
      <c r="B1" s="120"/>
      <c r="C1" s="455" t="s">
        <v>101</v>
      </c>
      <c r="D1" s="456"/>
      <c r="E1" s="456"/>
      <c r="F1" s="456"/>
      <c r="G1" s="456"/>
      <c r="H1" s="456"/>
      <c r="I1" s="456"/>
      <c r="J1" s="26"/>
      <c r="K1" s="26"/>
      <c r="L1" s="26"/>
      <c r="M1" s="26"/>
      <c r="N1" s="26"/>
    </row>
    <row r="2" spans="1:14" ht="15.75" thickBot="1" x14ac:dyDescent="0.3">
      <c r="A2" s="458" t="s">
        <v>0</v>
      </c>
      <c r="B2" s="460" t="s">
        <v>1</v>
      </c>
      <c r="C2" s="490" t="s">
        <v>2</v>
      </c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62" t="s">
        <v>3</v>
      </c>
    </row>
    <row r="3" spans="1:14" ht="15.75" thickBot="1" x14ac:dyDescent="0.3">
      <c r="A3" s="459"/>
      <c r="B3" s="489"/>
      <c r="C3" s="354" t="s">
        <v>69</v>
      </c>
      <c r="D3" s="307" t="s">
        <v>4</v>
      </c>
      <c r="E3" s="355" t="s">
        <v>5</v>
      </c>
      <c r="F3" s="307" t="s">
        <v>6</v>
      </c>
      <c r="G3" s="357" t="s">
        <v>8</v>
      </c>
      <c r="H3" s="356" t="s">
        <v>94</v>
      </c>
      <c r="I3" s="357" t="s">
        <v>9</v>
      </c>
      <c r="J3" s="372" t="s">
        <v>10</v>
      </c>
      <c r="K3" s="358" t="s">
        <v>93</v>
      </c>
      <c r="L3" s="307" t="s">
        <v>11</v>
      </c>
      <c r="M3" s="373" t="s">
        <v>96</v>
      </c>
      <c r="N3" s="488"/>
    </row>
    <row r="4" spans="1:14" x14ac:dyDescent="0.25">
      <c r="A4" s="30">
        <v>1</v>
      </c>
      <c r="B4" s="351" t="s">
        <v>12</v>
      </c>
      <c r="C4" s="370">
        <f>[1]STA_SP1_NO!$H$10</f>
        <v>144</v>
      </c>
      <c r="D4" s="54">
        <f>[2]STA_SP1_NO!$H$10</f>
        <v>309</v>
      </c>
      <c r="E4" s="370">
        <f>[3]STA_SP1_NO!$H$10</f>
        <v>56</v>
      </c>
      <c r="F4" s="54">
        <f>[4]STA_SP1_NO!$H$10</f>
        <v>154</v>
      </c>
      <c r="G4" s="62">
        <f>[5]STA_SP1_NO!$H$10</f>
        <v>221</v>
      </c>
      <c r="H4" s="371">
        <f>[6]STA_SP1_NO!$H$10</f>
        <v>118</v>
      </c>
      <c r="I4" s="62">
        <f>[7]STA_SP1_NO!$H$10</f>
        <v>31</v>
      </c>
      <c r="J4" s="54">
        <f>[8]STA_SP1_NO!$H$10</f>
        <v>70</v>
      </c>
      <c r="K4" s="62">
        <f>[9]STA_SP1_NO!$H$10</f>
        <v>86</v>
      </c>
      <c r="L4" s="54">
        <f>[10]STA_SP1_NO!$H$10</f>
        <v>357</v>
      </c>
      <c r="M4" s="374">
        <f>[11]STA_SP1_NO!$H$10</f>
        <v>3</v>
      </c>
      <c r="N4" s="369">
        <f t="shared" ref="N4:N22" si="0">SUM(C4:M4)</f>
        <v>1549</v>
      </c>
    </row>
    <row r="5" spans="1:14" x14ac:dyDescent="0.25">
      <c r="A5" s="32">
        <v>2</v>
      </c>
      <c r="B5" s="352" t="s">
        <v>13</v>
      </c>
      <c r="C5" s="370">
        <f>[1]STA_SP1_NO!$H$20</f>
        <v>139</v>
      </c>
      <c r="D5" s="54">
        <f>[2]STA_SP1_NO!$H$20</f>
        <v>738</v>
      </c>
      <c r="E5" s="370">
        <f>[3]STA_SP1_NO!$H$20</f>
        <v>48</v>
      </c>
      <c r="F5" s="54">
        <f>[4]STA_SP1_NO!$H$20</f>
        <v>459</v>
      </c>
      <c r="G5" s="62">
        <f>[5]STA_SP1_NO!$H$20</f>
        <v>998</v>
      </c>
      <c r="H5" s="371">
        <f>[6]STA_SP1_NO!$H$20</f>
        <v>0</v>
      </c>
      <c r="I5" s="62">
        <f>[7]STA_SP1_NO!$H$20</f>
        <v>43</v>
      </c>
      <c r="J5" s="54">
        <f>[8]STA_SP1_NO!$H$20</f>
        <v>0</v>
      </c>
      <c r="K5" s="62">
        <f>[9]STA_SP1_NO!$H$20</f>
        <v>185</v>
      </c>
      <c r="L5" s="54">
        <f>[10]STA_SP1_NO!$H$20</f>
        <v>831</v>
      </c>
      <c r="M5" s="374">
        <f>[11]STA_SP1_NO!$H$20</f>
        <v>0</v>
      </c>
      <c r="N5" s="369">
        <f t="shared" si="0"/>
        <v>3441</v>
      </c>
    </row>
    <row r="6" spans="1:14" x14ac:dyDescent="0.25">
      <c r="A6" s="32">
        <v>3</v>
      </c>
      <c r="B6" s="352" t="s">
        <v>14</v>
      </c>
      <c r="C6" s="370">
        <f>[1]STA_SP1_NO!$H$24</f>
        <v>244</v>
      </c>
      <c r="D6" s="54">
        <f>[2]STA_SP1_NO!$H$24</f>
        <v>390</v>
      </c>
      <c r="E6" s="370">
        <f>[3]STA_SP1_NO!$H$24</f>
        <v>210</v>
      </c>
      <c r="F6" s="54">
        <f>[4]STA_SP1_NO!$H$24</f>
        <v>277</v>
      </c>
      <c r="G6" s="62">
        <f>[5]STA_SP1_NO!$H$24</f>
        <v>344</v>
      </c>
      <c r="H6" s="371">
        <f>[6]STA_SP1_NO!$H$24</f>
        <v>147</v>
      </c>
      <c r="I6" s="62">
        <f>[7]STA_SP1_NO!$H$24</f>
        <v>226</v>
      </c>
      <c r="J6" s="54">
        <f>[8]STA_SP1_NO!$H$24</f>
        <v>160</v>
      </c>
      <c r="K6" s="62">
        <f>[9]STA_SP1_NO!$H$24</f>
        <v>154</v>
      </c>
      <c r="L6" s="54">
        <f>[10]STA_SP1_NO!$H$24</f>
        <v>361</v>
      </c>
      <c r="M6" s="374">
        <f>[11]STA_SP1_NO!$H$24</f>
        <v>9</v>
      </c>
      <c r="N6" s="369">
        <f t="shared" si="0"/>
        <v>2522</v>
      </c>
    </row>
    <row r="7" spans="1:14" x14ac:dyDescent="0.25">
      <c r="A7" s="32">
        <v>4</v>
      </c>
      <c r="B7" s="352" t="s">
        <v>15</v>
      </c>
      <c r="C7" s="370">
        <f>[1]STA_SP1_NO!$H$27</f>
        <v>0</v>
      </c>
      <c r="D7" s="54">
        <f>[2]STA_SP1_NO!$H$27</f>
        <v>0</v>
      </c>
      <c r="E7" s="370">
        <f>[3]STA_SP1_NO!$H$27</f>
        <v>0</v>
      </c>
      <c r="F7" s="54">
        <f>[4]STA_SP1_NO!$H$27</f>
        <v>0</v>
      </c>
      <c r="G7" s="62">
        <f>[5]STA_SP1_NO!$H$27</f>
        <v>0</v>
      </c>
      <c r="H7" s="371">
        <f>[6]STA_SP1_NO!$H$27</f>
        <v>0</v>
      </c>
      <c r="I7" s="62">
        <f>[7]STA_SP1_NO!$H$27</f>
        <v>0</v>
      </c>
      <c r="J7" s="54">
        <f>[8]STA_SP1_NO!$H$27</f>
        <v>0</v>
      </c>
      <c r="K7" s="62">
        <f>[9]STA_SP1_NO!$H$27</f>
        <v>0</v>
      </c>
      <c r="L7" s="54">
        <f>[10]STA_SP1_NO!$H$27</f>
        <v>0</v>
      </c>
      <c r="M7" s="374">
        <f>[11]STA_SP1_NO!$H$27</f>
        <v>0</v>
      </c>
      <c r="N7" s="369">
        <f t="shared" si="0"/>
        <v>0</v>
      </c>
    </row>
    <row r="8" spans="1:14" x14ac:dyDescent="0.25">
      <c r="A8" s="32">
        <v>5</v>
      </c>
      <c r="B8" s="352" t="s">
        <v>16</v>
      </c>
      <c r="C8" s="370">
        <f>[1]STA_SP1_NO!$H$30</f>
        <v>0</v>
      </c>
      <c r="D8" s="54">
        <f>[2]STA_SP1_NO!$H$30</f>
        <v>1</v>
      </c>
      <c r="E8" s="370">
        <f>[3]STA_SP1_NO!$H$30</f>
        <v>0</v>
      </c>
      <c r="F8" s="54">
        <f>[4]STA_SP1_NO!$H$30</f>
        <v>0</v>
      </c>
      <c r="G8" s="62">
        <f>[5]STA_SP1_NO!$H$30</f>
        <v>0</v>
      </c>
      <c r="H8" s="371">
        <f>[6]STA_SP1_NO!$H$30</f>
        <v>0</v>
      </c>
      <c r="I8" s="62">
        <f>[7]STA_SP1_NO!$H$30</f>
        <v>0</v>
      </c>
      <c r="J8" s="54">
        <f>[8]STA_SP1_NO!$H$30</f>
        <v>0</v>
      </c>
      <c r="K8" s="62">
        <f>[9]STA_SP1_NO!$H$30</f>
        <v>0</v>
      </c>
      <c r="L8" s="54">
        <f>[10]STA_SP1_NO!$H$30</f>
        <v>0</v>
      </c>
      <c r="M8" s="374">
        <f>[11]STA_SP1_NO!$H$30</f>
        <v>0</v>
      </c>
      <c r="N8" s="369">
        <f t="shared" si="0"/>
        <v>1</v>
      </c>
    </row>
    <row r="9" spans="1:14" x14ac:dyDescent="0.25">
      <c r="A9" s="32">
        <v>6</v>
      </c>
      <c r="B9" s="352" t="s">
        <v>17</v>
      </c>
      <c r="C9" s="370">
        <f>[1]STA_SP1_NO!$H$33</f>
        <v>0</v>
      </c>
      <c r="D9" s="54">
        <f>[2]STA_SP1_NO!$H$33</f>
        <v>0</v>
      </c>
      <c r="E9" s="370">
        <f>[3]STA_SP1_NO!$H$33</f>
        <v>0</v>
      </c>
      <c r="F9" s="54">
        <f>[4]STA_SP1_NO!$H$33</f>
        <v>1</v>
      </c>
      <c r="G9" s="62">
        <f>[5]STA_SP1_NO!$H$33</f>
        <v>0</v>
      </c>
      <c r="H9" s="371">
        <f>[6]STA_SP1_NO!$H$33</f>
        <v>0</v>
      </c>
      <c r="I9" s="62">
        <f>[7]STA_SP1_NO!$H$33</f>
        <v>0</v>
      </c>
      <c r="J9" s="54">
        <f>[8]STA_SP1_NO!$H$33</f>
        <v>0</v>
      </c>
      <c r="K9" s="62">
        <f>[9]STA_SP1_NO!$H$33</f>
        <v>0</v>
      </c>
      <c r="L9" s="54">
        <f>[10]STA_SP1_NO!$H$33</f>
        <v>0</v>
      </c>
      <c r="M9" s="374">
        <f>[11]STA_SP1_NO!$H$33</f>
        <v>0</v>
      </c>
      <c r="N9" s="369">
        <f t="shared" si="0"/>
        <v>1</v>
      </c>
    </row>
    <row r="10" spans="1:14" x14ac:dyDescent="0.25">
      <c r="A10" s="32">
        <v>7</v>
      </c>
      <c r="B10" s="352" t="s">
        <v>18</v>
      </c>
      <c r="C10" s="370">
        <f>[1]STA_SP1_NO!$H$36</f>
        <v>3</v>
      </c>
      <c r="D10" s="54">
        <f>[2]STA_SP1_NO!$H$36</f>
        <v>2</v>
      </c>
      <c r="E10" s="370">
        <f>[3]STA_SP1_NO!$H$36</f>
        <v>0</v>
      </c>
      <c r="F10" s="54">
        <f>[4]STA_SP1_NO!$H$36</f>
        <v>0</v>
      </c>
      <c r="G10" s="62">
        <f>[5]STA_SP1_NO!$H$36</f>
        <v>1</v>
      </c>
      <c r="H10" s="371">
        <f>[6]STA_SP1_NO!$H$36</f>
        <v>0</v>
      </c>
      <c r="I10" s="62">
        <f>[7]STA_SP1_NO!$H$36</f>
        <v>2</v>
      </c>
      <c r="J10" s="54">
        <f>[8]STA_SP1_NO!$H$36</f>
        <v>1</v>
      </c>
      <c r="K10" s="62">
        <f>[9]STA_SP1_NO!$H$36</f>
        <v>1</v>
      </c>
      <c r="L10" s="54">
        <f>[10]STA_SP1_NO!$H$36</f>
        <v>0</v>
      </c>
      <c r="M10" s="374">
        <f>[11]STA_SP1_NO!$H$36</f>
        <v>0</v>
      </c>
      <c r="N10" s="369">
        <f t="shared" si="0"/>
        <v>10</v>
      </c>
    </row>
    <row r="11" spans="1:14" x14ac:dyDescent="0.25">
      <c r="A11" s="32">
        <v>8</v>
      </c>
      <c r="B11" s="352" t="s">
        <v>19</v>
      </c>
      <c r="C11" s="370">
        <f>[1]STA_SP1_NO!$H$40</f>
        <v>34</v>
      </c>
      <c r="D11" s="54">
        <f>[2]STA_SP1_NO!$H$40</f>
        <v>46</v>
      </c>
      <c r="E11" s="370">
        <f>[3]STA_SP1_NO!$H$40</f>
        <v>5</v>
      </c>
      <c r="F11" s="54">
        <f>[4]STA_SP1_NO!$H$40</f>
        <v>52</v>
      </c>
      <c r="G11" s="62">
        <f>[5]STA_SP1_NO!$H$40</f>
        <v>51</v>
      </c>
      <c r="H11" s="371">
        <f>[6]STA_SP1_NO!$H$40</f>
        <v>18</v>
      </c>
      <c r="I11" s="62">
        <f>[7]STA_SP1_NO!$H$40</f>
        <v>8</v>
      </c>
      <c r="J11" s="54">
        <f>[8]STA_SP1_NO!$H$40</f>
        <v>29</v>
      </c>
      <c r="K11" s="62">
        <f>[9]STA_SP1_NO!$H$40</f>
        <v>10</v>
      </c>
      <c r="L11" s="54">
        <f>[10]STA_SP1_NO!$H$40</f>
        <v>18</v>
      </c>
      <c r="M11" s="374">
        <f>[11]STA_SP1_NO!$H$40</f>
        <v>0</v>
      </c>
      <c r="N11" s="369">
        <f t="shared" si="0"/>
        <v>271</v>
      </c>
    </row>
    <row r="12" spans="1:14" x14ac:dyDescent="0.25">
      <c r="A12" s="32">
        <v>9</v>
      </c>
      <c r="B12" s="352" t="s">
        <v>20</v>
      </c>
      <c r="C12" s="370">
        <f>[1]STA_SP1_NO!$H$56</f>
        <v>232</v>
      </c>
      <c r="D12" s="54">
        <f>[2]STA_SP1_NO!$H$56</f>
        <v>111</v>
      </c>
      <c r="E12" s="370">
        <f>[3]STA_SP1_NO!$H$56</f>
        <v>65</v>
      </c>
      <c r="F12" s="54">
        <f>[4]STA_SP1_NO!$H$56</f>
        <v>182</v>
      </c>
      <c r="G12" s="62">
        <f>[5]STA_SP1_NO!$H$56</f>
        <v>44</v>
      </c>
      <c r="H12" s="371">
        <f>[6]STA_SP1_NO!$H$56</f>
        <v>12</v>
      </c>
      <c r="I12" s="62">
        <f>[7]STA_SP1_NO!$H$56</f>
        <v>32</v>
      </c>
      <c r="J12" s="54">
        <f>[8]STA_SP1_NO!$H$56</f>
        <v>20</v>
      </c>
      <c r="K12" s="62">
        <f>[9]STA_SP1_NO!$H$56</f>
        <v>21</v>
      </c>
      <c r="L12" s="54">
        <f>[10]STA_SP1_NO!$H$56</f>
        <v>77</v>
      </c>
      <c r="M12" s="374">
        <f>[11]STA_SP1_NO!$H$56</f>
        <v>0</v>
      </c>
      <c r="N12" s="369">
        <f t="shared" si="0"/>
        <v>796</v>
      </c>
    </row>
    <row r="13" spans="1:14" x14ac:dyDescent="0.25">
      <c r="A13" s="32">
        <v>10</v>
      </c>
      <c r="B13" s="352" t="s">
        <v>21</v>
      </c>
      <c r="C13" s="370">
        <f>[1]STA_SP1_NO!$H$88</f>
        <v>1820</v>
      </c>
      <c r="D13" s="54">
        <f>[2]STA_SP1_NO!$H$88</f>
        <v>1052</v>
      </c>
      <c r="E13" s="370">
        <f>[3]STA_SP1_NO!$H$88</f>
        <v>730</v>
      </c>
      <c r="F13" s="54">
        <f>[4]STA_SP1_NO!$H$88</f>
        <v>891</v>
      </c>
      <c r="G13" s="62">
        <f>[5]STA_SP1_NO!$H$88</f>
        <v>1605</v>
      </c>
      <c r="H13" s="371">
        <f>[6]STA_SP1_NO!$H$88</f>
        <v>2846</v>
      </c>
      <c r="I13" s="62">
        <f>[7]STA_SP1_NO!$H$88</f>
        <v>1248</v>
      </c>
      <c r="J13" s="54">
        <f>[8]STA_SP1_NO!$H$88</f>
        <v>959</v>
      </c>
      <c r="K13" s="62">
        <f>[9]STA_SP1_NO!$H$88</f>
        <v>690</v>
      </c>
      <c r="L13" s="54">
        <f>[10]STA_SP1_NO!$H$88</f>
        <v>1307</v>
      </c>
      <c r="M13" s="374">
        <f>[11]STA_SP1_NO!$H$88</f>
        <v>124</v>
      </c>
      <c r="N13" s="369">
        <f t="shared" si="0"/>
        <v>13272</v>
      </c>
    </row>
    <row r="14" spans="1:14" x14ac:dyDescent="0.25">
      <c r="A14" s="32">
        <v>11</v>
      </c>
      <c r="B14" s="352" t="s">
        <v>22</v>
      </c>
      <c r="C14" s="370">
        <f>[1]STA_SP1_NO!$H$124</f>
        <v>0</v>
      </c>
      <c r="D14" s="54">
        <f>[2]STA_SP1_NO!$H$124</f>
        <v>0</v>
      </c>
      <c r="E14" s="370">
        <f>[3]STA_SP1_NO!$H$124</f>
        <v>0</v>
      </c>
      <c r="F14" s="54">
        <f>[4]STA_SP1_NO!$H$124</f>
        <v>0</v>
      </c>
      <c r="G14" s="62">
        <f>[5]STA_SP1_NO!$H$124</f>
        <v>0</v>
      </c>
      <c r="H14" s="371">
        <f>[6]STA_SP1_NO!$H$124</f>
        <v>0</v>
      </c>
      <c r="I14" s="62">
        <f>[7]STA_SP1_NO!$H$124</f>
        <v>0</v>
      </c>
      <c r="J14" s="54">
        <f>[8]STA_SP1_NO!$H$124</f>
        <v>0</v>
      </c>
      <c r="K14" s="62">
        <f>[9]STA_SP1_NO!$H$124</f>
        <v>0</v>
      </c>
      <c r="L14" s="54">
        <f>[10]STA_SP1_NO!$H$124</f>
        <v>0</v>
      </c>
      <c r="M14" s="374">
        <f>[11]STA_SP1_NO!$H$124</f>
        <v>0</v>
      </c>
      <c r="N14" s="369">
        <f t="shared" si="0"/>
        <v>0</v>
      </c>
    </row>
    <row r="15" spans="1:14" x14ac:dyDescent="0.25">
      <c r="A15" s="32">
        <v>12</v>
      </c>
      <c r="B15" s="352" t="s">
        <v>23</v>
      </c>
      <c r="C15" s="370">
        <f>[1]STA_SP1_NO!$H$128</f>
        <v>0</v>
      </c>
      <c r="D15" s="54">
        <f>[2]STA_SP1_NO!$H$128</f>
        <v>6</v>
      </c>
      <c r="E15" s="370">
        <f>[3]STA_SP1_NO!$H$128</f>
        <v>0</v>
      </c>
      <c r="F15" s="54">
        <f>[4]STA_SP1_NO!$H$128</f>
        <v>1</v>
      </c>
      <c r="G15" s="62">
        <f>[5]STA_SP1_NO!$H$128</f>
        <v>0</v>
      </c>
      <c r="H15" s="371">
        <f>[6]STA_SP1_NO!$H$128</f>
        <v>0</v>
      </c>
      <c r="I15" s="62">
        <f>[7]STA_SP1_NO!$H$128</f>
        <v>0</v>
      </c>
      <c r="J15" s="54">
        <f>[8]STA_SP1_NO!$H$128</f>
        <v>0</v>
      </c>
      <c r="K15" s="62">
        <f>[9]STA_SP1_NO!$H$128</f>
        <v>0</v>
      </c>
      <c r="L15" s="54">
        <f>[10]STA_SP1_NO!$H$128</f>
        <v>0</v>
      </c>
      <c r="M15" s="374">
        <f>[11]STA_SP1_NO!$H$128</f>
        <v>0</v>
      </c>
      <c r="N15" s="369">
        <f t="shared" si="0"/>
        <v>7</v>
      </c>
    </row>
    <row r="16" spans="1:14" x14ac:dyDescent="0.25">
      <c r="A16" s="32">
        <v>13</v>
      </c>
      <c r="B16" s="352" t="s">
        <v>24</v>
      </c>
      <c r="C16" s="370">
        <f>[1]STA_SP1_NO!$H$132</f>
        <v>73</v>
      </c>
      <c r="D16" s="54">
        <f>[2]STA_SP1_NO!$H$132</f>
        <v>11</v>
      </c>
      <c r="E16" s="370">
        <f>[3]STA_SP1_NO!$H$132</f>
        <v>19</v>
      </c>
      <c r="F16" s="54">
        <f>[4]STA_SP1_NO!$H$132</f>
        <v>32</v>
      </c>
      <c r="G16" s="62">
        <f>[5]STA_SP1_NO!$H$132</f>
        <v>29</v>
      </c>
      <c r="H16" s="371">
        <f>[6]STA_SP1_NO!$H$132</f>
        <v>4</v>
      </c>
      <c r="I16" s="62">
        <f>[7]STA_SP1_NO!$H$132</f>
        <v>31</v>
      </c>
      <c r="J16" s="54">
        <f>[8]STA_SP1_NO!$H$132</f>
        <v>25</v>
      </c>
      <c r="K16" s="62">
        <f>[9]STA_SP1_NO!$H$132</f>
        <v>8</v>
      </c>
      <c r="L16" s="54">
        <f>[10]STA_SP1_NO!$H$132</f>
        <v>8</v>
      </c>
      <c r="M16" s="374">
        <f>[11]STA_SP1_NO!$H$132</f>
        <v>0</v>
      </c>
      <c r="N16" s="369">
        <f t="shared" si="0"/>
        <v>240</v>
      </c>
    </row>
    <row r="17" spans="1:14" x14ac:dyDescent="0.25">
      <c r="A17" s="32">
        <v>14</v>
      </c>
      <c r="B17" s="352" t="s">
        <v>25</v>
      </c>
      <c r="C17" s="370">
        <f>[1]STA_SP1_NO!$H$153</f>
        <v>0</v>
      </c>
      <c r="D17" s="54">
        <f>[2]STA_SP1_NO!$H$153</f>
        <v>14</v>
      </c>
      <c r="E17" s="370">
        <f>[3]STA_SP1_NO!$H$153</f>
        <v>0</v>
      </c>
      <c r="F17" s="54">
        <f>[4]STA_SP1_NO!$H$153</f>
        <v>0</v>
      </c>
      <c r="G17" s="62">
        <f>[5]STA_SP1_NO!$H$153</f>
        <v>0</v>
      </c>
      <c r="H17" s="371">
        <f>[6]STA_SP1_NO!$H$153</f>
        <v>0</v>
      </c>
      <c r="I17" s="62">
        <f>[7]STA_SP1_NO!$H$153</f>
        <v>0</v>
      </c>
      <c r="J17" s="54">
        <f>[8]STA_SP1_NO!$H$153</f>
        <v>0</v>
      </c>
      <c r="K17" s="62">
        <f>[9]STA_SP1_NO!$H$153</f>
        <v>0</v>
      </c>
      <c r="L17" s="54">
        <f>[10]STA_SP1_NO!$H$153</f>
        <v>0</v>
      </c>
      <c r="M17" s="374">
        <f>[11]STA_SP1_NO!$H$153</f>
        <v>0</v>
      </c>
      <c r="N17" s="369">
        <f t="shared" si="0"/>
        <v>14</v>
      </c>
    </row>
    <row r="18" spans="1:14" x14ac:dyDescent="0.25">
      <c r="A18" s="32">
        <v>15</v>
      </c>
      <c r="B18" s="352" t="s">
        <v>26</v>
      </c>
      <c r="C18" s="370">
        <f>[1]STA_SP1_NO!$H$158</f>
        <v>0</v>
      </c>
      <c r="D18" s="54">
        <f>[2]STA_SP1_NO!$H$158</f>
        <v>0</v>
      </c>
      <c r="E18" s="370">
        <f>[3]STA_SP1_NO!$H$158</f>
        <v>0</v>
      </c>
      <c r="F18" s="54">
        <f>[4]STA_SP1_NO!$H$158</f>
        <v>0</v>
      </c>
      <c r="G18" s="62">
        <f>[5]STA_SP1_NO!$H$158</f>
        <v>0</v>
      </c>
      <c r="H18" s="371">
        <f>[6]STA_SP1_NO!$H$158</f>
        <v>0</v>
      </c>
      <c r="I18" s="62">
        <f>[7]STA_SP1_NO!$H$158</f>
        <v>0</v>
      </c>
      <c r="J18" s="54">
        <f>[8]STA_SP1_NO!$H$158</f>
        <v>0</v>
      </c>
      <c r="K18" s="62">
        <f>[9]STA_SP1_NO!$H$158</f>
        <v>0</v>
      </c>
      <c r="L18" s="54">
        <f>[10]STA_SP1_NO!$H$158</f>
        <v>0</v>
      </c>
      <c r="M18" s="374">
        <f>[11]STA_SP1_NO!$H$158</f>
        <v>0</v>
      </c>
      <c r="N18" s="369">
        <f t="shared" si="0"/>
        <v>0</v>
      </c>
    </row>
    <row r="19" spans="1:14" x14ac:dyDescent="0.25">
      <c r="A19" s="32">
        <v>16</v>
      </c>
      <c r="B19" s="352" t="s">
        <v>27</v>
      </c>
      <c r="C19" s="370">
        <f>[1]STA_SP1_NO!$H$161</f>
        <v>0</v>
      </c>
      <c r="D19" s="54">
        <f>[2]STA_SP1_NO!$H$161</f>
        <v>0</v>
      </c>
      <c r="E19" s="370">
        <f>[3]STA_SP1_NO!$H$161</f>
        <v>0</v>
      </c>
      <c r="F19" s="54">
        <f>[4]STA_SP1_NO!$H$161</f>
        <v>5</v>
      </c>
      <c r="G19" s="62">
        <f>[5]STA_SP1_NO!$H$161</f>
        <v>0</v>
      </c>
      <c r="H19" s="371">
        <f>[6]STA_SP1_NO!$H$161</f>
        <v>0</v>
      </c>
      <c r="I19" s="62">
        <f>[7]STA_SP1_NO!$H$161</f>
        <v>2</v>
      </c>
      <c r="J19" s="54">
        <f>[8]STA_SP1_NO!$H$161</f>
        <v>0</v>
      </c>
      <c r="K19" s="62">
        <f>[9]STA_SP1_NO!$H$161</f>
        <v>0</v>
      </c>
      <c r="L19" s="54">
        <f>[10]STA_SP1_NO!$H$161</f>
        <v>1</v>
      </c>
      <c r="M19" s="374">
        <f>[11]STA_SP1_NO!$H$161</f>
        <v>0</v>
      </c>
      <c r="N19" s="369">
        <f t="shared" si="0"/>
        <v>8</v>
      </c>
    </row>
    <row r="20" spans="1:14" x14ac:dyDescent="0.25">
      <c r="A20" s="32">
        <v>17</v>
      </c>
      <c r="B20" s="352" t="s">
        <v>28</v>
      </c>
      <c r="C20" s="370">
        <f>[1]STA_SP1_NO!$H$167</f>
        <v>0</v>
      </c>
      <c r="D20" s="54">
        <f>[2]STA_SP1_NO!$H$167</f>
        <v>0</v>
      </c>
      <c r="E20" s="370">
        <f>[3]STA_SP1_NO!$H$167</f>
        <v>0</v>
      </c>
      <c r="F20" s="54">
        <f>[4]STA_SP1_NO!$H$167</f>
        <v>0</v>
      </c>
      <c r="G20" s="62">
        <f>[5]STA_SP1_NO!$H$167</f>
        <v>0</v>
      </c>
      <c r="H20" s="371">
        <f>[6]STA_SP1_NO!$H$167</f>
        <v>0</v>
      </c>
      <c r="I20" s="62">
        <f>[7]STA_SP1_NO!$H$167</f>
        <v>0</v>
      </c>
      <c r="J20" s="54">
        <f>[8]STA_SP1_NO!$H$167</f>
        <v>0</v>
      </c>
      <c r="K20" s="62">
        <f>[9]STA_SP1_NO!$H$167</f>
        <v>0</v>
      </c>
      <c r="L20" s="54">
        <f>[10]STA_SP1_NO!$H$167</f>
        <v>0</v>
      </c>
      <c r="M20" s="374">
        <f>[11]STA_SP1_NO!$H$167</f>
        <v>0</v>
      </c>
      <c r="N20" s="369">
        <f t="shared" si="0"/>
        <v>0</v>
      </c>
    </row>
    <row r="21" spans="1:14" ht="15.75" thickBot="1" x14ac:dyDescent="0.3">
      <c r="A21" s="34">
        <v>18</v>
      </c>
      <c r="B21" s="353" t="s">
        <v>29</v>
      </c>
      <c r="C21" s="370">
        <f>[1]STA_SP1_NO!$H$170</f>
        <v>135</v>
      </c>
      <c r="D21" s="54">
        <f>[2]STA_SP1_NO!$H$170</f>
        <v>279</v>
      </c>
      <c r="E21" s="370">
        <f>[3]STA_SP1_NO!$H$170</f>
        <v>95</v>
      </c>
      <c r="F21" s="54">
        <f>[4]STA_SP1_NO!$H$170</f>
        <v>197</v>
      </c>
      <c r="G21" s="62">
        <f>[5]STA_SP1_NO!$H$170</f>
        <v>253</v>
      </c>
      <c r="H21" s="371">
        <f>[6]STA_SP1_NO!$H$170</f>
        <v>95</v>
      </c>
      <c r="I21" s="62">
        <f>[7]STA_SP1_NO!$H$170</f>
        <v>30</v>
      </c>
      <c r="J21" s="54">
        <f>[8]STA_SP1_NO!$H$170</f>
        <v>135</v>
      </c>
      <c r="K21" s="62">
        <f>[9]STA_SP1_NO!$H$170</f>
        <v>65</v>
      </c>
      <c r="L21" s="54">
        <f>[10]STA_SP1_NO!$H$170</f>
        <v>167</v>
      </c>
      <c r="M21" s="374">
        <f>[11]STA_SP1_NO!$H$170</f>
        <v>0</v>
      </c>
      <c r="N21" s="369">
        <f t="shared" si="0"/>
        <v>1451</v>
      </c>
    </row>
    <row r="22" spans="1:14" ht="15.75" thickBot="1" x14ac:dyDescent="0.3">
      <c r="A22" s="36"/>
      <c r="B22" s="366" t="s">
        <v>37</v>
      </c>
      <c r="C22" s="359">
        <f t="shared" ref="C22:F22" si="1">SUM(C4:C21)</f>
        <v>2824</v>
      </c>
      <c r="D22" s="362">
        <f t="shared" si="1"/>
        <v>2959</v>
      </c>
      <c r="E22" s="361">
        <f>SUM(E4:E21)</f>
        <v>1228</v>
      </c>
      <c r="F22" s="362">
        <f t="shared" si="1"/>
        <v>2251</v>
      </c>
      <c r="G22" s="350">
        <f t="shared" ref="G22:M22" si="2">SUM(G4:G21)</f>
        <v>3546</v>
      </c>
      <c r="H22" s="362">
        <f t="shared" si="2"/>
        <v>3240</v>
      </c>
      <c r="I22" s="350">
        <f t="shared" si="2"/>
        <v>1653</v>
      </c>
      <c r="J22" s="363">
        <f t="shared" si="2"/>
        <v>1399</v>
      </c>
      <c r="K22" s="350">
        <f t="shared" si="2"/>
        <v>1220</v>
      </c>
      <c r="L22" s="362">
        <f t="shared" si="2"/>
        <v>3127</v>
      </c>
      <c r="M22" s="364">
        <f t="shared" si="2"/>
        <v>136</v>
      </c>
      <c r="N22" s="365">
        <f t="shared" si="0"/>
        <v>23583</v>
      </c>
    </row>
    <row r="23" spans="1:14" ht="15.75" thickBot="1" x14ac:dyDescent="0.3">
      <c r="A23" s="1"/>
      <c r="B23" s="1"/>
      <c r="C23" s="1"/>
      <c r="D23" s="1"/>
      <c r="E23" s="1"/>
      <c r="F23" s="1"/>
      <c r="G23" s="341"/>
      <c r="H23" s="1"/>
      <c r="I23" s="341"/>
      <c r="J23" s="1"/>
      <c r="K23" s="341"/>
      <c r="L23" s="1"/>
      <c r="M23" s="341"/>
      <c r="N23" s="1"/>
    </row>
    <row r="24" spans="1:14" ht="15.75" thickBot="1" x14ac:dyDescent="0.3">
      <c r="A24" s="467" t="s">
        <v>31</v>
      </c>
      <c r="B24" s="468"/>
      <c r="C24" s="48">
        <f>C22/N22</f>
        <v>0.11974727557986685</v>
      </c>
      <c r="D24" s="47">
        <f>D22/N22</f>
        <v>0.1254717381164398</v>
      </c>
      <c r="E24" s="48">
        <f>E22/N22</f>
        <v>5.2071407369715474E-2</v>
      </c>
      <c r="F24" s="47">
        <f>F22/N22</f>
        <v>9.5450112369079423E-2</v>
      </c>
      <c r="G24" s="48">
        <f>G22/N22</f>
        <v>0.15036254929398296</v>
      </c>
      <c r="H24" s="47">
        <f>H22/N22</f>
        <v>0.13738710087775091</v>
      </c>
      <c r="I24" s="48">
        <f>I22/N22</f>
        <v>7.0092863503371072E-2</v>
      </c>
      <c r="J24" s="47">
        <f>J22/N22</f>
        <v>5.932239324937455E-2</v>
      </c>
      <c r="K24" s="48">
        <f>K22/N22</f>
        <v>5.1732179960140783E-2</v>
      </c>
      <c r="L24" s="47">
        <f>L22/N22</f>
        <v>0.13259551371750838</v>
      </c>
      <c r="M24" s="342">
        <f>M22/N22</f>
        <v>5.7668659627697922E-3</v>
      </c>
      <c r="N24" s="257">
        <f>SUM(C24:M24)</f>
        <v>1.0000000000000002</v>
      </c>
    </row>
    <row r="25" spans="1:14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thickBot="1" x14ac:dyDescent="0.3">
      <c r="A26" s="422" t="s">
        <v>0</v>
      </c>
      <c r="B26" s="424" t="s">
        <v>1</v>
      </c>
      <c r="C26" s="481" t="s">
        <v>90</v>
      </c>
      <c r="D26" s="482"/>
      <c r="E26" s="482"/>
      <c r="F26" s="482"/>
      <c r="G26" s="482"/>
      <c r="H26" s="483"/>
      <c r="I26" s="479" t="s">
        <v>3</v>
      </c>
      <c r="J26" s="1"/>
      <c r="K26" s="1"/>
      <c r="L26" s="1"/>
      <c r="M26" s="1"/>
      <c r="N26" s="1"/>
    </row>
    <row r="27" spans="1:14" ht="23.25" thickBot="1" x14ac:dyDescent="0.3">
      <c r="A27" s="423"/>
      <c r="B27" s="426"/>
      <c r="C27" s="168" t="s">
        <v>11</v>
      </c>
      <c r="D27" s="127" t="s">
        <v>32</v>
      </c>
      <c r="E27" s="168" t="s">
        <v>7</v>
      </c>
      <c r="F27" s="127" t="s">
        <v>9</v>
      </c>
      <c r="G27" s="166" t="s">
        <v>4</v>
      </c>
      <c r="H27" s="253" t="s">
        <v>95</v>
      </c>
      <c r="I27" s="487"/>
      <c r="J27" s="81"/>
      <c r="K27" s="477" t="s">
        <v>33</v>
      </c>
      <c r="L27" s="478"/>
      <c r="M27" s="232">
        <f>N22</f>
        <v>23583</v>
      </c>
      <c r="N27" s="233">
        <f>M27/M29</f>
        <v>0.97494729009053704</v>
      </c>
    </row>
    <row r="28" spans="1:14" ht="15.75" thickBot="1" x14ac:dyDescent="0.3">
      <c r="A28" s="22">
        <v>19</v>
      </c>
      <c r="B28" s="128" t="s">
        <v>34</v>
      </c>
      <c r="C28" s="165">
        <f>[12]STA_SP2_ZO!$G$51+[12]STA_SP2_ZO!$H$51</f>
        <v>271</v>
      </c>
      <c r="D28" s="50">
        <f>[13]STA_SP2_ZO!$G$51+[13]STA_SP2_ZO!$H$51</f>
        <v>248</v>
      </c>
      <c r="E28" s="165">
        <f>[14]STA_SP2_ZO!$G$51+[14]STA_SP2_ZO!$H$51</f>
        <v>27</v>
      </c>
      <c r="F28" s="50">
        <f>[15]STA_SP2_ZO!$G$51+[15]STA_SP2_ZO!$H$51</f>
        <v>51</v>
      </c>
      <c r="G28" s="115">
        <f>[16]STA_SP2_ZO!$G$51+[16]STA_SP2_ZO!$H$51</f>
        <v>9</v>
      </c>
      <c r="H28" s="50">
        <f>[17]STA_SP2_ZO!$G$51+[17]STA_SP2_ZO!$H$51</f>
        <v>0</v>
      </c>
      <c r="I28" s="244">
        <f>SUM(C28:H28)</f>
        <v>606</v>
      </c>
      <c r="J28" s="81"/>
      <c r="K28" s="469" t="s">
        <v>34</v>
      </c>
      <c r="L28" s="470"/>
      <c r="M28" s="234">
        <f>I28</f>
        <v>606</v>
      </c>
      <c r="N28" s="235">
        <f>M28/M29</f>
        <v>2.505270990946298E-2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71" t="s">
        <v>3</v>
      </c>
      <c r="L29" s="472"/>
      <c r="M29" s="236">
        <f>M27+M28</f>
        <v>24189</v>
      </c>
      <c r="N29" s="237">
        <f>M29/M29</f>
        <v>1</v>
      </c>
    </row>
    <row r="30" spans="1:14" ht="15.75" thickBot="1" x14ac:dyDescent="0.3">
      <c r="A30" s="427" t="s">
        <v>35</v>
      </c>
      <c r="B30" s="428"/>
      <c r="C30" s="23">
        <f>C28/I28</f>
        <v>0.44719471947194722</v>
      </c>
      <c r="D30" s="82">
        <f>D28/I28</f>
        <v>0.40924092409240925</v>
      </c>
      <c r="E30" s="23">
        <f>E28/I28</f>
        <v>4.4554455445544552E-2</v>
      </c>
      <c r="F30" s="82">
        <f>F28/I28</f>
        <v>8.4158415841584164E-2</v>
      </c>
      <c r="G30" s="23">
        <f>G28/I28</f>
        <v>1.4851485148514851E-2</v>
      </c>
      <c r="H30" s="82">
        <f>H28/I28</f>
        <v>0</v>
      </c>
      <c r="I30" s="231">
        <f>I28/I28</f>
        <v>1</v>
      </c>
      <c r="J30" s="1"/>
      <c r="K30" s="1"/>
      <c r="L30" s="1"/>
      <c r="M30" s="1"/>
      <c r="N30" s="1"/>
    </row>
  </sheetData>
  <mergeCells count="14">
    <mergeCell ref="N2:N3"/>
    <mergeCell ref="A24:B24"/>
    <mergeCell ref="C1:I1"/>
    <mergeCell ref="A2:A3"/>
    <mergeCell ref="B2:B3"/>
    <mergeCell ref="C2:M2"/>
    <mergeCell ref="K28:L28"/>
    <mergeCell ref="A30:B30"/>
    <mergeCell ref="A26:A27"/>
    <mergeCell ref="B26:B27"/>
    <mergeCell ref="K27:L27"/>
    <mergeCell ref="K29:L29"/>
    <mergeCell ref="I26:I27"/>
    <mergeCell ref="C26:H26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selection sqref="A1:N24"/>
    </sheetView>
  </sheetViews>
  <sheetFormatPr defaultRowHeight="15" x14ac:dyDescent="0.25"/>
  <cols>
    <col min="1" max="1" width="4.7109375" customWidth="1"/>
    <col min="2" max="2" width="27.85546875" customWidth="1"/>
    <col min="8" max="8" width="9.85546875" customWidth="1"/>
    <col min="11" max="11" width="9.140625" customWidth="1"/>
  </cols>
  <sheetData>
    <row r="1" spans="1:14" ht="27.75" customHeight="1" thickBot="1" x14ac:dyDescent="0.3">
      <c r="A1" s="26"/>
      <c r="B1" s="26"/>
      <c r="C1" s="455" t="s">
        <v>102</v>
      </c>
      <c r="D1" s="456"/>
      <c r="E1" s="456"/>
      <c r="F1" s="456"/>
      <c r="G1" s="456"/>
      <c r="H1" s="456"/>
      <c r="I1" s="456"/>
      <c r="J1" s="457"/>
      <c r="K1" s="457"/>
      <c r="L1" s="26"/>
      <c r="M1" s="26"/>
      <c r="N1" s="155" t="s">
        <v>36</v>
      </c>
    </row>
    <row r="2" spans="1:14" ht="15.75" thickBot="1" x14ac:dyDescent="0.3">
      <c r="A2" s="458" t="s">
        <v>0</v>
      </c>
      <c r="B2" s="460" t="s">
        <v>1</v>
      </c>
      <c r="C2" s="493" t="s">
        <v>2</v>
      </c>
      <c r="D2" s="494"/>
      <c r="E2" s="494"/>
      <c r="F2" s="494"/>
      <c r="G2" s="494"/>
      <c r="H2" s="494"/>
      <c r="I2" s="494"/>
      <c r="J2" s="494"/>
      <c r="K2" s="494"/>
      <c r="L2" s="494"/>
      <c r="M2" s="495"/>
      <c r="N2" s="462" t="s">
        <v>3</v>
      </c>
    </row>
    <row r="3" spans="1:14" ht="15.75" thickBot="1" x14ac:dyDescent="0.3">
      <c r="A3" s="459"/>
      <c r="B3" s="489"/>
      <c r="C3" s="354" t="s">
        <v>69</v>
      </c>
      <c r="D3" s="375" t="s">
        <v>4</v>
      </c>
      <c r="E3" s="357" t="s">
        <v>5</v>
      </c>
      <c r="F3" s="307" t="s">
        <v>6</v>
      </c>
      <c r="G3" s="367" t="s">
        <v>8</v>
      </c>
      <c r="H3" s="356" t="s">
        <v>94</v>
      </c>
      <c r="I3" s="357" t="s">
        <v>9</v>
      </c>
      <c r="J3" s="372" t="s">
        <v>38</v>
      </c>
      <c r="K3" s="358" t="s">
        <v>93</v>
      </c>
      <c r="L3" s="307" t="s">
        <v>11</v>
      </c>
      <c r="M3" s="373" t="s">
        <v>96</v>
      </c>
      <c r="N3" s="463"/>
    </row>
    <row r="4" spans="1:14" x14ac:dyDescent="0.25">
      <c r="A4" s="30">
        <v>1</v>
      </c>
      <c r="B4" s="351" t="s">
        <v>12</v>
      </c>
      <c r="C4" s="62">
        <f>[1]STA_SP1_NO!$I$10</f>
        <v>9946.18</v>
      </c>
      <c r="D4" s="368">
        <f>[2]STA_SP1_NO!$I$10</f>
        <v>17135.150000000001</v>
      </c>
      <c r="E4" s="62">
        <f>[3]STA_SP1_NO!$I$10</f>
        <v>2948</v>
      </c>
      <c r="F4" s="54">
        <f>[4]STA_SP1_NO!$I$10</f>
        <v>2499.4299999999998</v>
      </c>
      <c r="G4" s="259">
        <f>[5]STA_SP1_NO!$I$10</f>
        <v>7527</v>
      </c>
      <c r="H4" s="371">
        <f>[6]STA_SP1_NO!$I$10</f>
        <v>2855.57</v>
      </c>
      <c r="I4" s="62">
        <f>[7]STA_SP1_NO!$I$10</f>
        <v>1549</v>
      </c>
      <c r="J4" s="54">
        <f>[8]STA_SP1_NO!$I$10</f>
        <v>1951</v>
      </c>
      <c r="K4" s="62">
        <f>[9]STA_SP1_NO!$I$10</f>
        <v>7063.42</v>
      </c>
      <c r="L4" s="54">
        <f>[10]STA_SP1_NO!$I$10</f>
        <v>8511</v>
      </c>
      <c r="M4" s="374">
        <f>[11]STA_SP1_NO!$I$10</f>
        <v>123</v>
      </c>
      <c r="N4" s="249">
        <f t="shared" ref="N4:N21" si="0">SUM(C4:M4)</f>
        <v>62108.75</v>
      </c>
    </row>
    <row r="5" spans="1:14" x14ac:dyDescent="0.25">
      <c r="A5" s="32">
        <v>2</v>
      </c>
      <c r="B5" s="352" t="s">
        <v>13</v>
      </c>
      <c r="C5" s="62">
        <f>[1]STA_SP1_NO!$I$20</f>
        <v>2601.94</v>
      </c>
      <c r="D5" s="368">
        <f>[2]STA_SP1_NO!$I$20</f>
        <v>16520.62</v>
      </c>
      <c r="E5" s="62">
        <f>[3]STA_SP1_NO!$I$20</f>
        <v>1292</v>
      </c>
      <c r="F5" s="54">
        <f>[4]STA_SP1_NO!$I$20</f>
        <v>5521.04</v>
      </c>
      <c r="G5" s="259">
        <f>[5]STA_SP1_NO!$I$20</f>
        <v>17684</v>
      </c>
      <c r="H5" s="371">
        <f>[6]STA_SP1_NO!$I$20</f>
        <v>0</v>
      </c>
      <c r="I5" s="62">
        <f>[7]STA_SP1_NO!$I$20</f>
        <v>319</v>
      </c>
      <c r="J5" s="54">
        <f>[8]STA_SP1_NO!$I$20</f>
        <v>0</v>
      </c>
      <c r="K5" s="62">
        <f>[9]STA_SP1_NO!$I$20</f>
        <v>1816.41</v>
      </c>
      <c r="L5" s="54">
        <f>[10]STA_SP1_NO!$I$20</f>
        <v>12365</v>
      </c>
      <c r="M5" s="374">
        <f>[11]STA_SP1_NO!$I$20</f>
        <v>0</v>
      </c>
      <c r="N5" s="249">
        <f t="shared" si="0"/>
        <v>58120.01</v>
      </c>
    </row>
    <row r="6" spans="1:14" x14ac:dyDescent="0.25">
      <c r="A6" s="32">
        <v>3</v>
      </c>
      <c r="B6" s="352" t="s">
        <v>14</v>
      </c>
      <c r="C6" s="62">
        <f>[1]STA_SP1_NO!$I$24</f>
        <v>33976.120000000003</v>
      </c>
      <c r="D6" s="368">
        <f>[2]STA_SP1_NO!$I$24</f>
        <v>38478.43</v>
      </c>
      <c r="E6" s="62">
        <f>[3]STA_SP1_NO!$I$24</f>
        <v>18098</v>
      </c>
      <c r="F6" s="54">
        <f>[4]STA_SP1_NO!$I$24</f>
        <v>46222.49</v>
      </c>
      <c r="G6" s="259">
        <f>[5]STA_SP1_NO!$I$24</f>
        <v>34679</v>
      </c>
      <c r="H6" s="371">
        <f>[6]STA_SP1_NO!$I$24</f>
        <v>8727</v>
      </c>
      <c r="I6" s="62">
        <f>[7]STA_SP1_NO!$I$24</f>
        <v>10658</v>
      </c>
      <c r="J6" s="54">
        <f>[8]STA_SP1_NO!$I$24</f>
        <v>20257</v>
      </c>
      <c r="K6" s="62">
        <f>[9]STA_SP1_NO!$I$24</f>
        <v>30542.68</v>
      </c>
      <c r="L6" s="54">
        <f>[10]STA_SP1_NO!$I$24</f>
        <v>30827</v>
      </c>
      <c r="M6" s="374">
        <f>[11]STA_SP1_NO!$I$24</f>
        <v>610</v>
      </c>
      <c r="N6" s="249">
        <f t="shared" si="0"/>
        <v>273075.71999999997</v>
      </c>
    </row>
    <row r="7" spans="1:14" x14ac:dyDescent="0.25">
      <c r="A7" s="32">
        <v>4</v>
      </c>
      <c r="B7" s="352" t="s">
        <v>15</v>
      </c>
      <c r="C7" s="62">
        <f>[1]STA_SP1_NO!$I$27</f>
        <v>0</v>
      </c>
      <c r="D7" s="368">
        <f>[2]STA_SP1_NO!$I$27</f>
        <v>0</v>
      </c>
      <c r="E7" s="62">
        <f>[3]STA_SP1_NO!$I$27</f>
        <v>0</v>
      </c>
      <c r="F7" s="54">
        <f>[4]STA_SP1_NO!$I$27</f>
        <v>0</v>
      </c>
      <c r="G7" s="259">
        <f>[5]STA_SP1_NO!$I$27</f>
        <v>0</v>
      </c>
      <c r="H7" s="371">
        <f>[6]STA_SP1_NO!$I$27</f>
        <v>0</v>
      </c>
      <c r="I7" s="62">
        <f>[7]STA_SP1_NO!$I$27</f>
        <v>0</v>
      </c>
      <c r="J7" s="54">
        <f>[8]STA_SP1_NO!$I$27</f>
        <v>0</v>
      </c>
      <c r="K7" s="62">
        <f>[9]STA_SP1_NO!$I$27</f>
        <v>0</v>
      </c>
      <c r="L7" s="54">
        <f>[10]STA_SP1_NO!$I$27</f>
        <v>0</v>
      </c>
      <c r="M7" s="374">
        <f>[11]STA_SP1_NO!$I$27</f>
        <v>0</v>
      </c>
      <c r="N7" s="249">
        <f t="shared" si="0"/>
        <v>0</v>
      </c>
    </row>
    <row r="8" spans="1:14" x14ac:dyDescent="0.25">
      <c r="A8" s="32">
        <v>5</v>
      </c>
      <c r="B8" s="352" t="s">
        <v>16</v>
      </c>
      <c r="C8" s="62">
        <f>[1]STA_SP1_NO!$I$30</f>
        <v>0</v>
      </c>
      <c r="D8" s="368">
        <f>[2]STA_SP1_NO!$I$30</f>
        <v>480256.06</v>
      </c>
      <c r="E8" s="62">
        <f>[3]STA_SP1_NO!$I$30</f>
        <v>0</v>
      </c>
      <c r="F8" s="54">
        <f>[4]STA_SP1_NO!$I$30</f>
        <v>0</v>
      </c>
      <c r="G8" s="259">
        <f>[5]STA_SP1_NO!$I$30</f>
        <v>0</v>
      </c>
      <c r="H8" s="371">
        <f>[6]STA_SP1_NO!$I$30</f>
        <v>0</v>
      </c>
      <c r="I8" s="62">
        <f>[7]STA_SP1_NO!$I$30</f>
        <v>0</v>
      </c>
      <c r="J8" s="54">
        <f>[8]STA_SP1_NO!$I$30</f>
        <v>0</v>
      </c>
      <c r="K8" s="62">
        <f>[9]STA_SP1_NO!$I$30</f>
        <v>0</v>
      </c>
      <c r="L8" s="54">
        <f>[10]STA_SP1_NO!$I$30</f>
        <v>0</v>
      </c>
      <c r="M8" s="374">
        <f>[11]STA_SP1_NO!$I$30</f>
        <v>0</v>
      </c>
      <c r="N8" s="249">
        <f t="shared" si="0"/>
        <v>480256.06</v>
      </c>
    </row>
    <row r="9" spans="1:14" x14ac:dyDescent="0.25">
      <c r="A9" s="32">
        <v>6</v>
      </c>
      <c r="B9" s="352" t="s">
        <v>17</v>
      </c>
      <c r="C9" s="62">
        <f>[1]STA_SP1_NO!$I$33</f>
        <v>0</v>
      </c>
      <c r="D9" s="368">
        <f>[2]STA_SP1_NO!$I$33</f>
        <v>0</v>
      </c>
      <c r="E9" s="62">
        <f>[3]STA_SP1_NO!$I$33</f>
        <v>0</v>
      </c>
      <c r="F9" s="54">
        <f>[4]STA_SP1_NO!$I$33</f>
        <v>20</v>
      </c>
      <c r="G9" s="259">
        <f>[5]STA_SP1_NO!$I$33</f>
        <v>0</v>
      </c>
      <c r="H9" s="371">
        <f>[6]STA_SP1_NO!$I$33</f>
        <v>0</v>
      </c>
      <c r="I9" s="62">
        <f>[7]STA_SP1_NO!$I$33</f>
        <v>0</v>
      </c>
      <c r="J9" s="54">
        <f>[8]STA_SP1_NO!$I$33</f>
        <v>0</v>
      </c>
      <c r="K9" s="62">
        <f>[9]STA_SP1_NO!$I$33</f>
        <v>0</v>
      </c>
      <c r="L9" s="54">
        <f>[10]STA_SP1_NO!$I$33</f>
        <v>0</v>
      </c>
      <c r="M9" s="374">
        <f>[11]STA_SP1_NO!$I$33</f>
        <v>0</v>
      </c>
      <c r="N9" s="249">
        <f t="shared" si="0"/>
        <v>20</v>
      </c>
    </row>
    <row r="10" spans="1:14" x14ac:dyDescent="0.25">
      <c r="A10" s="32">
        <v>7</v>
      </c>
      <c r="B10" s="352" t="s">
        <v>18</v>
      </c>
      <c r="C10" s="62">
        <f>[1]STA_SP1_NO!$I$36</f>
        <v>592.20000000000005</v>
      </c>
      <c r="D10" s="368">
        <f>[2]STA_SP1_NO!$I$36</f>
        <v>53680</v>
      </c>
      <c r="E10" s="62">
        <f>[3]STA_SP1_NO!$I$36</f>
        <v>0</v>
      </c>
      <c r="F10" s="54">
        <f>[4]STA_SP1_NO!$I$36</f>
        <v>0</v>
      </c>
      <c r="G10" s="259">
        <f>[5]STA_SP1_NO!$I$36</f>
        <v>12</v>
      </c>
      <c r="H10" s="371">
        <f>[6]STA_SP1_NO!$I$36</f>
        <v>0</v>
      </c>
      <c r="I10" s="62">
        <f>[7]STA_SP1_NO!$I$36</f>
        <v>56</v>
      </c>
      <c r="J10" s="54">
        <f>[8]STA_SP1_NO!$I$36</f>
        <v>99</v>
      </c>
      <c r="K10" s="62">
        <f>[9]STA_SP1_NO!$I$36</f>
        <v>51.13</v>
      </c>
      <c r="L10" s="54">
        <f>[10]STA_SP1_NO!$I$36</f>
        <v>0</v>
      </c>
      <c r="M10" s="374">
        <f>[11]STA_SP1_NO!$I$36</f>
        <v>0</v>
      </c>
      <c r="N10" s="249">
        <f t="shared" si="0"/>
        <v>54490.329999999994</v>
      </c>
    </row>
    <row r="11" spans="1:14" x14ac:dyDescent="0.25">
      <c r="A11" s="32">
        <v>8</v>
      </c>
      <c r="B11" s="352" t="s">
        <v>19</v>
      </c>
      <c r="C11" s="62">
        <f>[1]STA_SP1_NO!$I$40</f>
        <v>327573.14</v>
      </c>
      <c r="D11" s="368">
        <f>[2]STA_SP1_NO!$I$40</f>
        <v>24445.87</v>
      </c>
      <c r="E11" s="62">
        <f>[3]STA_SP1_NO!$I$40</f>
        <v>279</v>
      </c>
      <c r="F11" s="54">
        <f>[4]STA_SP1_NO!$I$40</f>
        <v>28950.26</v>
      </c>
      <c r="G11" s="259">
        <f>[5]STA_SP1_NO!$I$40</f>
        <v>32498</v>
      </c>
      <c r="H11" s="371">
        <f>[6]STA_SP1_NO!$I$40</f>
        <v>641.82000000000005</v>
      </c>
      <c r="I11" s="62">
        <f>[7]STA_SP1_NO!$I$40</f>
        <v>12394</v>
      </c>
      <c r="J11" s="54">
        <f>[8]STA_SP1_NO!$I$40</f>
        <v>19076</v>
      </c>
      <c r="K11" s="62">
        <f>[9]STA_SP1_NO!$I$40</f>
        <v>2009.11</v>
      </c>
      <c r="L11" s="54">
        <f>[10]STA_SP1_NO!$I$40</f>
        <v>40087</v>
      </c>
      <c r="M11" s="374">
        <f>[11]STA_SP1_NO!$I$40</f>
        <v>0</v>
      </c>
      <c r="N11" s="249">
        <f t="shared" si="0"/>
        <v>487954.2</v>
      </c>
    </row>
    <row r="12" spans="1:14" x14ac:dyDescent="0.25">
      <c r="A12" s="32">
        <v>9</v>
      </c>
      <c r="B12" s="352" t="s">
        <v>20</v>
      </c>
      <c r="C12" s="62">
        <f>[1]STA_SP1_NO!$I$56</f>
        <v>210036.9</v>
      </c>
      <c r="D12" s="368">
        <f>[2]STA_SP1_NO!$I$56</f>
        <v>7952.17</v>
      </c>
      <c r="E12" s="62">
        <f>[3]STA_SP1_NO!$I$56</f>
        <v>10441</v>
      </c>
      <c r="F12" s="54">
        <f>[4]STA_SP1_NO!$I$56</f>
        <v>12395.9</v>
      </c>
      <c r="G12" s="259">
        <f>[5]STA_SP1_NO!$I$56</f>
        <v>9179</v>
      </c>
      <c r="H12" s="371">
        <f>[6]STA_SP1_NO!$I$56</f>
        <v>377.21</v>
      </c>
      <c r="I12" s="62">
        <f>[7]STA_SP1_NO!$I$56</f>
        <v>22320</v>
      </c>
      <c r="J12" s="54">
        <f>[8]STA_SP1_NO!$I$56</f>
        <v>689</v>
      </c>
      <c r="K12" s="62">
        <f>[9]STA_SP1_NO!$I$56</f>
        <v>2471.21</v>
      </c>
      <c r="L12" s="54">
        <f>[10]STA_SP1_NO!$I$56</f>
        <v>6012</v>
      </c>
      <c r="M12" s="374">
        <f>[11]STA_SP1_NO!$I$56</f>
        <v>0</v>
      </c>
      <c r="N12" s="249">
        <f t="shared" si="0"/>
        <v>281874.39</v>
      </c>
    </row>
    <row r="13" spans="1:14" x14ac:dyDescent="0.25">
      <c r="A13" s="32">
        <v>10</v>
      </c>
      <c r="B13" s="352" t="s">
        <v>21</v>
      </c>
      <c r="C13" s="62">
        <f>[1]STA_SP1_NO!$I$88</f>
        <v>319547.43</v>
      </c>
      <c r="D13" s="368">
        <f>[2]STA_SP1_NO!$I$88</f>
        <v>273215.61</v>
      </c>
      <c r="E13" s="62">
        <f>[3]STA_SP1_NO!$I$88</f>
        <v>162749</v>
      </c>
      <c r="F13" s="54">
        <f>[4]STA_SP1_NO!$I$88</f>
        <v>213572.14</v>
      </c>
      <c r="G13" s="259">
        <f>[5]STA_SP1_NO!$I$88</f>
        <v>254610</v>
      </c>
      <c r="H13" s="371">
        <f>[6]STA_SP1_NO!$I$88</f>
        <v>199733.85</v>
      </c>
      <c r="I13" s="62">
        <f>[7]STA_SP1_NO!$I$88</f>
        <v>133355</v>
      </c>
      <c r="J13" s="54">
        <f>[8]STA_SP1_NO!$I$88</f>
        <v>165334</v>
      </c>
      <c r="K13" s="62">
        <f>[9]STA_SP1_NO!$I$88</f>
        <v>183296.64000000001</v>
      </c>
      <c r="L13" s="54">
        <f>[10]STA_SP1_NO!$I$88</f>
        <v>238130</v>
      </c>
      <c r="M13" s="374">
        <f>[11]STA_SP1_NO!$I$88</f>
        <v>9165.19</v>
      </c>
      <c r="N13" s="249">
        <f t="shared" si="0"/>
        <v>2152708.8600000003</v>
      </c>
    </row>
    <row r="14" spans="1:14" x14ac:dyDescent="0.25">
      <c r="A14" s="32">
        <v>11</v>
      </c>
      <c r="B14" s="352" t="s">
        <v>22</v>
      </c>
      <c r="C14" s="62">
        <f>[1]STA_SP1_NO!$I$124</f>
        <v>0</v>
      </c>
      <c r="D14" s="368">
        <f>[2]STA_SP1_NO!$I$124</f>
        <v>0</v>
      </c>
      <c r="E14" s="62">
        <f>[3]STA_SP1_NO!$I$124</f>
        <v>0</v>
      </c>
      <c r="F14" s="54">
        <f>[4]STA_SP1_NO!$I$124</f>
        <v>0</v>
      </c>
      <c r="G14" s="259">
        <f>[5]STA_SP1_NO!$I$124</f>
        <v>0</v>
      </c>
      <c r="H14" s="371">
        <f>[6]STA_SP1_NO!$I$124</f>
        <v>0</v>
      </c>
      <c r="I14" s="62">
        <f>[7]STA_SP1_NO!$I$124</f>
        <v>0</v>
      </c>
      <c r="J14" s="54">
        <f>[8]STA_SP1_NO!$I$124</f>
        <v>0</v>
      </c>
      <c r="K14" s="62">
        <f>[9]STA_SP1_NO!$I$124</f>
        <v>0</v>
      </c>
      <c r="L14" s="54">
        <f>[10]STA_SP1_NO!$I$124</f>
        <v>0</v>
      </c>
      <c r="M14" s="374">
        <f>[11]STA_SP1_NO!$I$124</f>
        <v>0</v>
      </c>
      <c r="N14" s="249">
        <f t="shared" si="0"/>
        <v>0</v>
      </c>
    </row>
    <row r="15" spans="1:14" x14ac:dyDescent="0.25">
      <c r="A15" s="32">
        <v>12</v>
      </c>
      <c r="B15" s="352" t="s">
        <v>23</v>
      </c>
      <c r="C15" s="62">
        <f>[1]STA_SP1_NO!$I$128</f>
        <v>0</v>
      </c>
      <c r="D15" s="368">
        <f>[2]STA_SP1_NO!$I$128</f>
        <v>6255</v>
      </c>
      <c r="E15" s="62">
        <f>[3]STA_SP1_NO!$I$128</f>
        <v>0</v>
      </c>
      <c r="F15" s="54">
        <f>[4]STA_SP1_NO!$I$128</f>
        <v>150</v>
      </c>
      <c r="G15" s="259">
        <f>[5]STA_SP1_NO!$I$128</f>
        <v>0</v>
      </c>
      <c r="H15" s="371">
        <f>[6]STA_SP1_NO!$I$128</f>
        <v>0</v>
      </c>
      <c r="I15" s="62">
        <f>[7]STA_SP1_NO!$I$128</f>
        <v>0</v>
      </c>
      <c r="J15" s="54">
        <f>[8]STA_SP1_NO!$I$128</f>
        <v>0</v>
      </c>
      <c r="K15" s="62">
        <f>[9]STA_SP1_NO!$I$128</f>
        <v>0</v>
      </c>
      <c r="L15" s="54">
        <f>[10]STA_SP1_NO!$I$128</f>
        <v>0</v>
      </c>
      <c r="M15" s="374">
        <f>[11]STA_SP1_NO!$I$128</f>
        <v>0</v>
      </c>
      <c r="N15" s="249">
        <f t="shared" si="0"/>
        <v>6405</v>
      </c>
    </row>
    <row r="16" spans="1:14" x14ac:dyDescent="0.25">
      <c r="A16" s="32">
        <v>13</v>
      </c>
      <c r="B16" s="352" t="s">
        <v>24</v>
      </c>
      <c r="C16" s="62">
        <f>[1]STA_SP1_NO!$I$132</f>
        <v>26015.48</v>
      </c>
      <c r="D16" s="368">
        <f>[2]STA_SP1_NO!$I$132</f>
        <v>6789.3</v>
      </c>
      <c r="E16" s="62">
        <f>[3]STA_SP1_NO!$I$132</f>
        <v>1166</v>
      </c>
      <c r="F16" s="54">
        <f>[4]STA_SP1_NO!$I$132</f>
        <v>2453.77</v>
      </c>
      <c r="G16" s="259">
        <f>[5]STA_SP1_NO!$I$132</f>
        <v>3550</v>
      </c>
      <c r="H16" s="371">
        <f>[6]STA_SP1_NO!$I$132</f>
        <v>70.069999999999993</v>
      </c>
      <c r="I16" s="62">
        <f>[7]STA_SP1_NO!$I$132</f>
        <v>20507</v>
      </c>
      <c r="J16" s="54">
        <f>[8]STA_SP1_NO!$I$132</f>
        <v>5208</v>
      </c>
      <c r="K16" s="62">
        <f>[9]STA_SP1_NO!$I$132</f>
        <v>7316.72</v>
      </c>
      <c r="L16" s="54">
        <f>[10]STA_SP1_NO!$I$132</f>
        <v>575</v>
      </c>
      <c r="M16" s="374">
        <f>[11]STA_SP1_NO!$I$132</f>
        <v>0</v>
      </c>
      <c r="N16" s="249">
        <f t="shared" si="0"/>
        <v>73651.34</v>
      </c>
    </row>
    <row r="17" spans="1:14" x14ac:dyDescent="0.25">
      <c r="A17" s="32">
        <v>14</v>
      </c>
      <c r="B17" s="352" t="s">
        <v>25</v>
      </c>
      <c r="C17" s="62">
        <f>[1]STA_SP1_NO!$I$153</f>
        <v>0</v>
      </c>
      <c r="D17" s="368">
        <f>[2]STA_SP1_NO!$I$153</f>
        <v>4880.1000000000004</v>
      </c>
      <c r="E17" s="62">
        <f>[3]STA_SP1_NO!$I$153</f>
        <v>0</v>
      </c>
      <c r="F17" s="54">
        <f>[4]STA_SP1_NO!$I$153</f>
        <v>0</v>
      </c>
      <c r="G17" s="259">
        <f>[5]STA_SP1_NO!$I$153</f>
        <v>0</v>
      </c>
      <c r="H17" s="371">
        <f>[6]STA_SP1_NO!$I$153</f>
        <v>0</v>
      </c>
      <c r="I17" s="62">
        <f>[7]STA_SP1_NO!$I$153</f>
        <v>0</v>
      </c>
      <c r="J17" s="54">
        <f>[8]STA_SP1_NO!$I$153</f>
        <v>0</v>
      </c>
      <c r="K17" s="62">
        <f>[9]STA_SP1_NO!$I$153</f>
        <v>0</v>
      </c>
      <c r="L17" s="54">
        <f>[10]STA_SP1_NO!$I$153</f>
        <v>0</v>
      </c>
      <c r="M17" s="374">
        <f>[11]STA_SP1_NO!$I$153</f>
        <v>0</v>
      </c>
      <c r="N17" s="249">
        <f t="shared" si="0"/>
        <v>4880.1000000000004</v>
      </c>
    </row>
    <row r="18" spans="1:14" x14ac:dyDescent="0.25">
      <c r="A18" s="32">
        <v>15</v>
      </c>
      <c r="B18" s="352" t="s">
        <v>26</v>
      </c>
      <c r="C18" s="62">
        <f>[1]STA_SP1_NO!$I$158</f>
        <v>0</v>
      </c>
      <c r="D18" s="368">
        <f>[2]STA_SP1_NO!$I$158</f>
        <v>0</v>
      </c>
      <c r="E18" s="62">
        <f>[3]STA_SP1_NO!$I$158</f>
        <v>0</v>
      </c>
      <c r="F18" s="54">
        <f>[4]STA_SP1_NO!$I$158</f>
        <v>0</v>
      </c>
      <c r="G18" s="259">
        <f>[5]STA_SP1_NO!$I$158</f>
        <v>0</v>
      </c>
      <c r="H18" s="371">
        <f>[6]STA_SP1_NO!$I$158</f>
        <v>0</v>
      </c>
      <c r="I18" s="62">
        <f>[7]STA_SP1_NO!$I$158</f>
        <v>0</v>
      </c>
      <c r="J18" s="54">
        <f>[8]STA_SP1_NO!$I$158</f>
        <v>0</v>
      </c>
      <c r="K18" s="62">
        <f>[9]STA_SP1_NO!$I$158</f>
        <v>0</v>
      </c>
      <c r="L18" s="54">
        <f>[10]STA_SP1_NO!$I$158</f>
        <v>0</v>
      </c>
      <c r="M18" s="374">
        <f>[11]STA_SP1_NO!$I$158</f>
        <v>0</v>
      </c>
      <c r="N18" s="249">
        <f t="shared" si="0"/>
        <v>0</v>
      </c>
    </row>
    <row r="19" spans="1:14" x14ac:dyDescent="0.25">
      <c r="A19" s="32">
        <v>16</v>
      </c>
      <c r="B19" s="352" t="s">
        <v>27</v>
      </c>
      <c r="C19" s="62">
        <f>[1]STA_SP1_NO!$I$161</f>
        <v>0</v>
      </c>
      <c r="D19" s="368">
        <f>[2]STA_SP1_NO!$I$161</f>
        <v>0</v>
      </c>
      <c r="E19" s="62">
        <f>[3]STA_SP1_NO!$I$161</f>
        <v>0</v>
      </c>
      <c r="F19" s="54">
        <f>[4]STA_SP1_NO!$I$161</f>
        <v>1101.1099999999999</v>
      </c>
      <c r="G19" s="259">
        <f>[5]STA_SP1_NO!$I$161</f>
        <v>0</v>
      </c>
      <c r="H19" s="371">
        <f>[6]STA_SP1_NO!$I$161</f>
        <v>0</v>
      </c>
      <c r="I19" s="62">
        <f>[7]STA_SP1_NO!$I$161</f>
        <v>3100</v>
      </c>
      <c r="J19" s="54">
        <f>[8]STA_SP1_NO!$I$161</f>
        <v>0</v>
      </c>
      <c r="K19" s="62">
        <f>[9]STA_SP1_NO!$I$161</f>
        <v>0</v>
      </c>
      <c r="L19" s="54">
        <f>[10]STA_SP1_NO!$I$161</f>
        <v>800</v>
      </c>
      <c r="M19" s="374">
        <f>[11]STA_SP1_NO!$I$161</f>
        <v>0</v>
      </c>
      <c r="N19" s="249">
        <f t="shared" si="0"/>
        <v>5001.1099999999997</v>
      </c>
    </row>
    <row r="20" spans="1:14" x14ac:dyDescent="0.25">
      <c r="A20" s="32">
        <v>17</v>
      </c>
      <c r="B20" s="352" t="s">
        <v>28</v>
      </c>
      <c r="C20" s="62">
        <f>[1]STA_SP1_NO!$I$167</f>
        <v>0</v>
      </c>
      <c r="D20" s="368">
        <f>[2]STA_SP1_NO!$I$167</f>
        <v>0</v>
      </c>
      <c r="E20" s="62">
        <f>[3]STA_SP1_NO!$I$167</f>
        <v>0</v>
      </c>
      <c r="F20" s="54">
        <f>[4]STA_SP1_NO!$I$167</f>
        <v>0</v>
      </c>
      <c r="G20" s="259">
        <f>[5]STA_SP1_NO!$I$167</f>
        <v>0</v>
      </c>
      <c r="H20" s="371">
        <f>[6]STA_SP1_NO!$I$167</f>
        <v>0</v>
      </c>
      <c r="I20" s="62">
        <f>[7]STA_SP1_NO!$I$167</f>
        <v>0</v>
      </c>
      <c r="J20" s="54">
        <f>[8]STA_SP1_NO!$I$167</f>
        <v>0</v>
      </c>
      <c r="K20" s="62">
        <f>[9]STA_SP1_NO!$I$167</f>
        <v>0</v>
      </c>
      <c r="L20" s="54">
        <f>[10]STA_SP1_NO!$I$167</f>
        <v>0</v>
      </c>
      <c r="M20" s="374">
        <f>[11]STA_SP1_NO!$I$167</f>
        <v>0</v>
      </c>
      <c r="N20" s="249">
        <f t="shared" si="0"/>
        <v>0</v>
      </c>
    </row>
    <row r="21" spans="1:14" ht="15.75" thickBot="1" x14ac:dyDescent="0.3">
      <c r="A21" s="34">
        <v>18</v>
      </c>
      <c r="B21" s="353" t="s">
        <v>29</v>
      </c>
      <c r="C21" s="62">
        <f>[1]STA_SP1_NO!$I$170</f>
        <v>2391.63</v>
      </c>
      <c r="D21" s="368">
        <f>[2]STA_SP1_NO!$I$170</f>
        <v>10937.74</v>
      </c>
      <c r="E21" s="62">
        <f>[3]STA_SP1_NO!$I$170</f>
        <v>2490</v>
      </c>
      <c r="F21" s="54">
        <f>[4]STA_SP1_NO!$I$170</f>
        <v>8030.21</v>
      </c>
      <c r="G21" s="259">
        <f>[5]STA_SP1_NO!$I$170</f>
        <v>5381</v>
      </c>
      <c r="H21" s="371">
        <f>[6]STA_SP1_NO!$I$170</f>
        <v>1401.88</v>
      </c>
      <c r="I21" s="62">
        <f>[7]STA_SP1_NO!$I$170</f>
        <v>726</v>
      </c>
      <c r="J21" s="54">
        <f>[8]STA_SP1_NO!$I$170</f>
        <v>2642</v>
      </c>
      <c r="K21" s="62">
        <f>[9]STA_SP1_NO!$I$170</f>
        <v>2012.46</v>
      </c>
      <c r="L21" s="54">
        <f>[10]STA_SP1_NO!$I$170</f>
        <v>2543</v>
      </c>
      <c r="M21" s="374">
        <f>[11]STA_SP1_NO!$I$170</f>
        <v>0</v>
      </c>
      <c r="N21" s="249">
        <f t="shared" si="0"/>
        <v>38555.919999999998</v>
      </c>
    </row>
    <row r="22" spans="1:14" ht="15.75" thickBot="1" x14ac:dyDescent="0.3">
      <c r="A22" s="36"/>
      <c r="B22" s="366" t="s">
        <v>30</v>
      </c>
      <c r="C22" s="350">
        <f>SUM(C4:C21)</f>
        <v>932681.0199999999</v>
      </c>
      <c r="D22" s="360">
        <f>SUM(D4:D21)</f>
        <v>940546.05</v>
      </c>
      <c r="E22" s="350">
        <f t="shared" ref="E22:F22" si="1">SUM(E4:E21)</f>
        <v>199463</v>
      </c>
      <c r="F22" s="362">
        <f t="shared" si="1"/>
        <v>320916.35000000003</v>
      </c>
      <c r="G22" s="376">
        <f t="shared" ref="G22:N22" si="2">SUM(G4:G21)</f>
        <v>365120</v>
      </c>
      <c r="H22" s="362">
        <f t="shared" si="2"/>
        <v>213807.40000000002</v>
      </c>
      <c r="I22" s="350">
        <f t="shared" si="2"/>
        <v>204984</v>
      </c>
      <c r="J22" s="363">
        <f t="shared" si="2"/>
        <v>215256</v>
      </c>
      <c r="K22" s="350">
        <f t="shared" si="2"/>
        <v>236579.78</v>
      </c>
      <c r="L22" s="362">
        <f t="shared" si="2"/>
        <v>339850</v>
      </c>
      <c r="M22" s="364">
        <f t="shared" si="2"/>
        <v>9898.19</v>
      </c>
      <c r="N22" s="250">
        <f t="shared" si="2"/>
        <v>3979101.79</v>
      </c>
    </row>
    <row r="23" spans="1:14" ht="15.75" thickBot="1" x14ac:dyDescent="0.3">
      <c r="A23" s="1"/>
      <c r="B23" s="1"/>
      <c r="C23" s="1"/>
      <c r="D23" s="1"/>
      <c r="E23" s="1"/>
      <c r="F23" s="1"/>
      <c r="G23" s="341"/>
      <c r="H23" s="119"/>
      <c r="I23" s="341"/>
      <c r="J23" s="1"/>
      <c r="K23" s="341"/>
      <c r="L23" s="1"/>
      <c r="M23" s="348"/>
      <c r="N23" s="1"/>
    </row>
    <row r="24" spans="1:14" ht="15.75" thickBot="1" x14ac:dyDescent="0.3">
      <c r="A24" s="467" t="s">
        <v>31</v>
      </c>
      <c r="B24" s="468"/>
      <c r="C24" s="48">
        <f>C22/N22</f>
        <v>0.23439486326887854</v>
      </c>
      <c r="D24" s="47">
        <f>D22/N22</f>
        <v>0.23637144753715889</v>
      </c>
      <c r="E24" s="48">
        <f>E22/N22</f>
        <v>5.0127644510446163E-2</v>
      </c>
      <c r="F24" s="47">
        <f>F22/N22</f>
        <v>8.0650450010227068E-2</v>
      </c>
      <c r="G24" s="48">
        <f>G22/N22</f>
        <v>9.1759401812136099E-2</v>
      </c>
      <c r="H24" s="47">
        <f>H22/N22</f>
        <v>5.3732578678264982E-2</v>
      </c>
      <c r="I24" s="48">
        <f>I22/N22</f>
        <v>5.151514357213767E-2</v>
      </c>
      <c r="J24" s="47">
        <f>J22/N22</f>
        <v>5.4096630687097851E-2</v>
      </c>
      <c r="K24" s="48">
        <f>K22/N22</f>
        <v>5.9455573766561021E-2</v>
      </c>
      <c r="L24" s="47">
        <f>L22/N22</f>
        <v>8.540872235389585E-2</v>
      </c>
      <c r="M24" s="342">
        <f>M22/N22</f>
        <v>2.4875438031958467E-3</v>
      </c>
      <c r="N24" s="257">
        <f>SUM(C24:M24)</f>
        <v>1</v>
      </c>
    </row>
    <row r="25" spans="1:14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thickBot="1" x14ac:dyDescent="0.3">
      <c r="A26" s="422" t="s">
        <v>0</v>
      </c>
      <c r="B26" s="424" t="s">
        <v>1</v>
      </c>
      <c r="C26" s="492" t="s">
        <v>90</v>
      </c>
      <c r="D26" s="492"/>
      <c r="E26" s="492"/>
      <c r="F26" s="492"/>
      <c r="G26" s="492"/>
      <c r="H26" s="492"/>
      <c r="I26" s="479" t="s">
        <v>3</v>
      </c>
      <c r="J26" s="1"/>
      <c r="K26" s="1"/>
      <c r="L26" s="1"/>
      <c r="M26" s="1"/>
      <c r="N26" s="1"/>
    </row>
    <row r="27" spans="1:14" ht="15.75" thickBot="1" x14ac:dyDescent="0.3">
      <c r="A27" s="423"/>
      <c r="B27" s="426"/>
      <c r="C27" s="189" t="s">
        <v>11</v>
      </c>
      <c r="D27" s="215" t="s">
        <v>32</v>
      </c>
      <c r="E27" s="191" t="s">
        <v>7</v>
      </c>
      <c r="F27" s="127" t="s">
        <v>9</v>
      </c>
      <c r="G27" s="166" t="s">
        <v>4</v>
      </c>
      <c r="H27" s="211" t="s">
        <v>95</v>
      </c>
      <c r="I27" s="487"/>
      <c r="J27" s="81"/>
      <c r="K27" s="436" t="s">
        <v>33</v>
      </c>
      <c r="L27" s="437"/>
      <c r="M27" s="232">
        <f>N22</f>
        <v>3979101.79</v>
      </c>
      <c r="N27" s="233">
        <f>M27/M29</f>
        <v>0.97980166046745998</v>
      </c>
    </row>
    <row r="28" spans="1:14" ht="15.75" thickBot="1" x14ac:dyDescent="0.3">
      <c r="A28" s="22">
        <v>19</v>
      </c>
      <c r="B28" s="128" t="s">
        <v>34</v>
      </c>
      <c r="C28" s="193">
        <f>[12]STA_SP4_ZO!$G$51</f>
        <v>18160</v>
      </c>
      <c r="D28" s="192">
        <f>[13]STA_SP4_ZO!$G$51</f>
        <v>48147</v>
      </c>
      <c r="E28" s="194">
        <f>[14]STA_SP4_ZO!$G$51</f>
        <v>6067.72</v>
      </c>
      <c r="F28" s="50">
        <f>[15]STA_SP4_ZO!$G$51</f>
        <v>7339</v>
      </c>
      <c r="G28" s="115">
        <f>[16]STA_SP4_ZO!$G$51</f>
        <v>2314.36</v>
      </c>
      <c r="H28" s="50">
        <f>[17]STA_SP4_ZO!$G$51</f>
        <v>0</v>
      </c>
      <c r="I28" s="244">
        <f>SUM(C28:H28)</f>
        <v>82028.08</v>
      </c>
      <c r="J28" s="81"/>
      <c r="K28" s="436" t="s">
        <v>34</v>
      </c>
      <c r="L28" s="437"/>
      <c r="M28" s="255">
        <f>I28</f>
        <v>82028.08</v>
      </c>
      <c r="N28" s="235">
        <f>M28/M29</f>
        <v>2.0198339532539994E-2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36" t="s">
        <v>3</v>
      </c>
      <c r="L29" s="437"/>
      <c r="M29" s="256">
        <f>M27+M28</f>
        <v>4061129.87</v>
      </c>
      <c r="N29" s="237">
        <f>M29/M29</f>
        <v>1</v>
      </c>
    </row>
    <row r="30" spans="1:14" ht="15.75" thickBot="1" x14ac:dyDescent="0.3">
      <c r="A30" s="427" t="s">
        <v>35</v>
      </c>
      <c r="B30" s="428"/>
      <c r="C30" s="23">
        <f>C28/I28</f>
        <v>0.22138760287940421</v>
      </c>
      <c r="D30" s="82">
        <f>D28/I28</f>
        <v>0.58695753941820894</v>
      </c>
      <c r="E30" s="23">
        <f>E28/I28</f>
        <v>7.3971254721553886E-2</v>
      </c>
      <c r="F30" s="82">
        <f>F28/I28</f>
        <v>8.9469362198895785E-2</v>
      </c>
      <c r="G30" s="23">
        <f>G28/I28</f>
        <v>2.8214240781937114E-2</v>
      </c>
      <c r="H30" s="82">
        <f>H28/I28</f>
        <v>0</v>
      </c>
      <c r="I30" s="231">
        <f>I28/I28</f>
        <v>1</v>
      </c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mergeCells count="14">
    <mergeCell ref="N2:N3"/>
    <mergeCell ref="A24:B24"/>
    <mergeCell ref="C1:K1"/>
    <mergeCell ref="A2:A3"/>
    <mergeCell ref="B2:B3"/>
    <mergeCell ref="C2:M2"/>
    <mergeCell ref="K28:L28"/>
    <mergeCell ref="A30:B30"/>
    <mergeCell ref="A26:A27"/>
    <mergeCell ref="B26:B27"/>
    <mergeCell ref="K27:L27"/>
    <mergeCell ref="K29:L29"/>
    <mergeCell ref="I26:I27"/>
    <mergeCell ref="C26:H26"/>
  </mergeCells>
  <pageMargins left="0.25" right="0.25" top="0.75" bottom="0.75" header="0.3" footer="0.3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I33" sqref="I33"/>
    </sheetView>
  </sheetViews>
  <sheetFormatPr defaultRowHeight="15" x14ac:dyDescent="0.25"/>
  <cols>
    <col min="1" max="1" width="6.42578125" customWidth="1"/>
    <col min="2" max="2" width="25.5703125" customWidth="1"/>
    <col min="8" max="8" width="10" customWidth="1"/>
  </cols>
  <sheetData>
    <row r="1" spans="1:14" ht="28.5" customHeight="1" thickBot="1" x14ac:dyDescent="0.3">
      <c r="A1" s="496" t="s">
        <v>103</v>
      </c>
      <c r="B1" s="496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155" t="s">
        <v>36</v>
      </c>
    </row>
    <row r="2" spans="1:14" ht="15.75" thickBot="1" x14ac:dyDescent="0.3">
      <c r="A2" s="458" t="s">
        <v>0</v>
      </c>
      <c r="B2" s="460" t="s">
        <v>1</v>
      </c>
      <c r="C2" s="377" t="s">
        <v>2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462" t="s">
        <v>3</v>
      </c>
    </row>
    <row r="3" spans="1:14" ht="21" customHeight="1" thickBot="1" x14ac:dyDescent="0.3">
      <c r="A3" s="459"/>
      <c r="B3" s="461"/>
      <c r="C3" s="66" t="s">
        <v>69</v>
      </c>
      <c r="D3" s="29" t="s">
        <v>4</v>
      </c>
      <c r="E3" s="28" t="s">
        <v>5</v>
      </c>
      <c r="F3" s="27" t="s">
        <v>6</v>
      </c>
      <c r="G3" s="335" t="s">
        <v>8</v>
      </c>
      <c r="H3" s="167" t="s">
        <v>94</v>
      </c>
      <c r="I3" s="335" t="s">
        <v>9</v>
      </c>
      <c r="J3" s="337" t="s">
        <v>38</v>
      </c>
      <c r="K3" s="21" t="s">
        <v>93</v>
      </c>
      <c r="L3" s="339" t="s">
        <v>11</v>
      </c>
      <c r="M3" s="28" t="s">
        <v>96</v>
      </c>
      <c r="N3" s="463"/>
    </row>
    <row r="4" spans="1:14" ht="15.75" thickBot="1" x14ac:dyDescent="0.3">
      <c r="A4" s="30">
        <v>1</v>
      </c>
      <c r="B4" s="31" t="s">
        <v>12</v>
      </c>
      <c r="C4" s="117">
        <f>[1]STA_SP5_NO!$G$10</f>
        <v>31860.1</v>
      </c>
      <c r="D4" s="68">
        <f>[2]STA_SP5_NO!$G$10</f>
        <v>19496.009999999998</v>
      </c>
      <c r="E4" s="117">
        <f>[3]STA_SP5_NO!$G$10</f>
        <v>11514</v>
      </c>
      <c r="F4" s="118">
        <f>[4]STA_SP5_NO!$G$10</f>
        <v>14483.83</v>
      </c>
      <c r="G4" s="143">
        <f>[5]STA_SP5_NO!$G$10</f>
        <v>34344</v>
      </c>
      <c r="H4" s="126">
        <f>[6]STA_SP5_NO!$G$10</f>
        <v>6472.99</v>
      </c>
      <c r="I4" s="143">
        <f>[7]STA_SP5_NO!$G$10</f>
        <v>11756</v>
      </c>
      <c r="J4" s="126">
        <f>[8]STA_SP5_NO!$G$10</f>
        <v>10002.18</v>
      </c>
      <c r="K4" s="143">
        <f>[9]STA_SP5_NO!$G$10</f>
        <v>17858.259999999998</v>
      </c>
      <c r="L4" s="379">
        <f>[10]STA_SP5_NO!$G$10</f>
        <v>30234</v>
      </c>
      <c r="M4" s="381">
        <f>[11]STA_SP5_NO!$G$10</f>
        <v>828.45</v>
      </c>
      <c r="N4" s="249">
        <f t="shared" ref="N4:N21" si="0">SUM(C4:M4)</f>
        <v>188849.82000000004</v>
      </c>
    </row>
    <row r="5" spans="1:14" ht="15.75" thickBot="1" x14ac:dyDescent="0.3">
      <c r="A5" s="32">
        <v>2</v>
      </c>
      <c r="B5" s="33" t="s">
        <v>13</v>
      </c>
      <c r="C5" s="117">
        <f>[1]STA_SP5_NO!$G$11</f>
        <v>13863.17</v>
      </c>
      <c r="D5" s="68">
        <f>[2]STA_SP5_NO!$G$11</f>
        <v>15766.9</v>
      </c>
      <c r="E5" s="117">
        <f>[3]STA_SP5_NO!$G$11</f>
        <v>3826</v>
      </c>
      <c r="F5" s="118">
        <f>[4]STA_SP5_NO!$G$11</f>
        <v>8992.25</v>
      </c>
      <c r="G5" s="143">
        <f>[5]STA_SP5_NO!$G$11</f>
        <v>8449</v>
      </c>
      <c r="H5" s="126">
        <f>[6]STA_SP5_NO!$G$11</f>
        <v>0</v>
      </c>
      <c r="I5" s="143">
        <f>[7]STA_SP5_NO!$G$11</f>
        <v>6920</v>
      </c>
      <c r="J5" s="126">
        <f>[8]STA_SP5_NO!$G$11</f>
        <v>0</v>
      </c>
      <c r="K5" s="143">
        <f>[9]STA_SP5_NO!$G$11</f>
        <v>2208.9299999999998</v>
      </c>
      <c r="L5" s="379">
        <f>[10]STA_SP5_NO!$G$11</f>
        <v>8148</v>
      </c>
      <c r="M5" s="382">
        <f>[11]STA_SP5_NO!$G$11</f>
        <v>0</v>
      </c>
      <c r="N5" s="249">
        <f t="shared" si="0"/>
        <v>68174.25</v>
      </c>
    </row>
    <row r="6" spans="1:14" ht="15.75" thickBot="1" x14ac:dyDescent="0.3">
      <c r="A6" s="32">
        <v>3</v>
      </c>
      <c r="B6" s="33" t="s">
        <v>14</v>
      </c>
      <c r="C6" s="117">
        <f>[1]STA_SP5_NO!$G$12</f>
        <v>16024.56</v>
      </c>
      <c r="D6" s="68">
        <f>[2]STA_SP5_NO!$G$12</f>
        <v>9785.18</v>
      </c>
      <c r="E6" s="117">
        <f>[3]STA_SP5_NO!$G$12</f>
        <v>15252</v>
      </c>
      <c r="F6" s="118">
        <f>[4]STA_SP5_NO!$G$12</f>
        <v>24673.85</v>
      </c>
      <c r="G6" s="143">
        <f>[5]STA_SP5_NO!$G$12</f>
        <v>10670</v>
      </c>
      <c r="H6" s="126">
        <f>[6]STA_SP5_NO!$G$12</f>
        <v>76.73</v>
      </c>
      <c r="I6" s="143">
        <f>[7]STA_SP5_NO!$G$12</f>
        <v>8621</v>
      </c>
      <c r="J6" s="126">
        <f>[8]STA_SP5_NO!$G$12</f>
        <v>10763.1</v>
      </c>
      <c r="K6" s="143">
        <f>[9]STA_SP5_NO!$G$12</f>
        <v>19389.95</v>
      </c>
      <c r="L6" s="379">
        <f>[10]STA_SP5_NO!$G$12</f>
        <v>7280</v>
      </c>
      <c r="M6" s="381">
        <f>[11]STA_SP5_NO!$G$12</f>
        <v>4920.8599999999997</v>
      </c>
      <c r="N6" s="249">
        <f t="shared" si="0"/>
        <v>127457.23</v>
      </c>
    </row>
    <row r="7" spans="1:14" ht="15.75" thickBot="1" x14ac:dyDescent="0.3">
      <c r="A7" s="32">
        <v>4</v>
      </c>
      <c r="B7" s="33" t="s">
        <v>15</v>
      </c>
      <c r="C7" s="117">
        <f>[1]STA_SP5_NO!$G$13</f>
        <v>0</v>
      </c>
      <c r="D7" s="68">
        <f>[2]STA_SP5_NO!$G$13</f>
        <v>0</v>
      </c>
      <c r="E7" s="117">
        <f>[3]STA_SP5_NO!$G$13</f>
        <v>0</v>
      </c>
      <c r="F7" s="118">
        <f>[4]STA_SP5_NO!$G$13</f>
        <v>0</v>
      </c>
      <c r="G7" s="143">
        <f>[5]STA_SP5_NO!$G$13</f>
        <v>0</v>
      </c>
      <c r="H7" s="126">
        <f>[6]STA_SP5_NO!$G$13</f>
        <v>0</v>
      </c>
      <c r="I7" s="143">
        <f>[7]STA_SP5_NO!$G$13</f>
        <v>0</v>
      </c>
      <c r="J7" s="126">
        <f>[8]STA_SP5_NO!$G$13</f>
        <v>0</v>
      </c>
      <c r="K7" s="143">
        <f>[9]STA_SP5_NO!$G$13</f>
        <v>0</v>
      </c>
      <c r="L7" s="379">
        <f>[10]STA_SP5_NO!$G$13</f>
        <v>0</v>
      </c>
      <c r="M7" s="383">
        <f>[11]STA_SP5_NO!$G$13</f>
        <v>0</v>
      </c>
      <c r="N7" s="249">
        <f t="shared" si="0"/>
        <v>0</v>
      </c>
    </row>
    <row r="8" spans="1:14" ht="15.75" thickBot="1" x14ac:dyDescent="0.3">
      <c r="A8" s="32">
        <v>5</v>
      </c>
      <c r="B8" s="33" t="s">
        <v>16</v>
      </c>
      <c r="C8" s="117">
        <f>[1]STA_SP5_NO!$G$14</f>
        <v>0</v>
      </c>
      <c r="D8" s="68">
        <f>[2]STA_SP5_NO!$G$14</f>
        <v>0</v>
      </c>
      <c r="E8" s="117">
        <f>[3]STA_SP5_NO!$G$14</f>
        <v>0</v>
      </c>
      <c r="F8" s="118">
        <f>[4]STA_SP5_NO!$G$14</f>
        <v>0</v>
      </c>
      <c r="G8" s="143">
        <f>[5]STA_SP5_NO!$G$14</f>
        <v>0</v>
      </c>
      <c r="H8" s="126">
        <f>[6]STA_SP5_NO!$G$14</f>
        <v>0</v>
      </c>
      <c r="I8" s="143">
        <f>[7]STA_SP5_NO!$G$14</f>
        <v>0</v>
      </c>
      <c r="J8" s="126">
        <f>[8]STA_SP5_NO!$G$14</f>
        <v>0</v>
      </c>
      <c r="K8" s="143">
        <f>[9]STA_SP5_NO!$G$14</f>
        <v>0</v>
      </c>
      <c r="L8" s="379">
        <f>[10]STA_SP5_NO!$G$14</f>
        <v>0</v>
      </c>
      <c r="M8" s="383">
        <f>[11]STA_SP5_NO!$G$14</f>
        <v>0</v>
      </c>
      <c r="N8" s="249">
        <f t="shared" si="0"/>
        <v>0</v>
      </c>
    </row>
    <row r="9" spans="1:14" ht="15.75" thickBot="1" x14ac:dyDescent="0.3">
      <c r="A9" s="32">
        <v>6</v>
      </c>
      <c r="B9" s="33" t="s">
        <v>17</v>
      </c>
      <c r="C9" s="117">
        <f>[1]STA_SP5_NO!$G$15</f>
        <v>0</v>
      </c>
      <c r="D9" s="68">
        <f>[2]STA_SP5_NO!$G$15</f>
        <v>0</v>
      </c>
      <c r="E9" s="117">
        <f>[3]STA_SP5_NO!$G$15</f>
        <v>0</v>
      </c>
      <c r="F9" s="118">
        <f>[4]STA_SP5_NO!$G$15</f>
        <v>0</v>
      </c>
      <c r="G9" s="143">
        <f>[5]STA_SP5_NO!$G$15</f>
        <v>0</v>
      </c>
      <c r="H9" s="126">
        <f>[6]STA_SP5_NO!$G$15</f>
        <v>0</v>
      </c>
      <c r="I9" s="143">
        <f>[7]STA_SP5_NO!$G$15</f>
        <v>0</v>
      </c>
      <c r="J9" s="126">
        <f>[8]STA_SP5_NO!$G$15</f>
        <v>0</v>
      </c>
      <c r="K9" s="143">
        <f>[9]STA_SP5_NO!$G$15</f>
        <v>0</v>
      </c>
      <c r="L9" s="379">
        <f>[10]STA_SP5_NO!$G$15</f>
        <v>0</v>
      </c>
      <c r="M9" s="383">
        <f>[11]STA_SP5_NO!$G$15</f>
        <v>0</v>
      </c>
      <c r="N9" s="249">
        <f t="shared" si="0"/>
        <v>0</v>
      </c>
    </row>
    <row r="10" spans="1:14" ht="15.75" thickBot="1" x14ac:dyDescent="0.3">
      <c r="A10" s="32">
        <v>7</v>
      </c>
      <c r="B10" s="33" t="s">
        <v>18</v>
      </c>
      <c r="C10" s="117">
        <f>[1]STA_SP5_NO!$G$16</f>
        <v>427.1</v>
      </c>
      <c r="D10" s="68">
        <f>[2]STA_SP5_NO!$G$16</f>
        <v>0</v>
      </c>
      <c r="E10" s="117">
        <f>[3]STA_SP5_NO!$G$16</f>
        <v>666</v>
      </c>
      <c r="F10" s="118">
        <f>[4]STA_SP5_NO!$G$16</f>
        <v>0</v>
      </c>
      <c r="G10" s="143">
        <f>[5]STA_SP5_NO!$G$16</f>
        <v>13</v>
      </c>
      <c r="H10" s="126">
        <f>[6]STA_SP5_NO!$G$16</f>
        <v>0</v>
      </c>
      <c r="I10" s="143">
        <f>[7]STA_SP5_NO!$G$16</f>
        <v>0</v>
      </c>
      <c r="J10" s="126">
        <f>[8]STA_SP5_NO!$G$16</f>
        <v>0</v>
      </c>
      <c r="K10" s="143">
        <f>[9]STA_SP5_NO!$G$16</f>
        <v>288</v>
      </c>
      <c r="L10" s="379">
        <f>[10]STA_SP5_NO!$G$16</f>
        <v>1950</v>
      </c>
      <c r="M10" s="383">
        <f>[11]STA_SP5_NO!$G$16</f>
        <v>0</v>
      </c>
      <c r="N10" s="249">
        <f t="shared" si="0"/>
        <v>3344.1</v>
      </c>
    </row>
    <row r="11" spans="1:14" ht="15.75" thickBot="1" x14ac:dyDescent="0.3">
      <c r="A11" s="32">
        <v>8</v>
      </c>
      <c r="B11" s="33" t="s">
        <v>19</v>
      </c>
      <c r="C11" s="117">
        <f>[1]STA_SP5_NO!$G$17</f>
        <v>18446.490000000002</v>
      </c>
      <c r="D11" s="68">
        <f>[2]STA_SP5_NO!$G$17</f>
        <v>4095.9</v>
      </c>
      <c r="E11" s="117">
        <f>[3]STA_SP5_NO!$G$17</f>
        <v>253</v>
      </c>
      <c r="F11" s="118">
        <f>[4]STA_SP5_NO!$G$17</f>
        <v>4586.25</v>
      </c>
      <c r="G11" s="143">
        <f>[5]STA_SP5_NO!$G$17</f>
        <v>18475</v>
      </c>
      <c r="H11" s="126">
        <f>[6]STA_SP5_NO!$G$17</f>
        <v>40.21</v>
      </c>
      <c r="I11" s="143">
        <f>[7]STA_SP5_NO!$G$17</f>
        <v>4338</v>
      </c>
      <c r="J11" s="126">
        <f>[8]STA_SP5_NO!$G$17</f>
        <v>13750.31</v>
      </c>
      <c r="K11" s="143">
        <f>[9]STA_SP5_NO!$G$17</f>
        <v>2527.06</v>
      </c>
      <c r="L11" s="379">
        <f>[10]STA_SP5_NO!$G$17</f>
        <v>3285</v>
      </c>
      <c r="M11" s="381">
        <f>[11]STA_SP5_NO!$G$17</f>
        <v>218.27</v>
      </c>
      <c r="N11" s="249">
        <f t="shared" si="0"/>
        <v>70015.490000000005</v>
      </c>
    </row>
    <row r="12" spans="1:14" ht="15.75" thickBot="1" x14ac:dyDescent="0.3">
      <c r="A12" s="32">
        <v>9</v>
      </c>
      <c r="B12" s="33" t="s">
        <v>20</v>
      </c>
      <c r="C12" s="117">
        <f>[1]STA_SP5_NO!$G$20</f>
        <v>11827.72</v>
      </c>
      <c r="D12" s="68">
        <f>[2]STA_SP5_NO!$G$20</f>
        <v>2395.23</v>
      </c>
      <c r="E12" s="117">
        <f>[3]STA_SP5_NO!$G$20</f>
        <v>15940</v>
      </c>
      <c r="F12" s="118">
        <f>[4]STA_SP5_NO!$G$20</f>
        <v>13115.95</v>
      </c>
      <c r="G12" s="143">
        <f>[5]STA_SP5_NO!$G$20</f>
        <v>5204</v>
      </c>
      <c r="H12" s="126">
        <f>[6]STA_SP5_NO!$G$20</f>
        <v>40.21</v>
      </c>
      <c r="I12" s="143">
        <f>[7]STA_SP5_NO!$G$20</f>
        <v>7812</v>
      </c>
      <c r="J12" s="126">
        <f>[8]STA_SP5_NO!$G$20</f>
        <v>496.34</v>
      </c>
      <c r="K12" s="143">
        <f>[9]STA_SP5_NO!$G$20</f>
        <v>2971.47</v>
      </c>
      <c r="L12" s="379">
        <f>[10]STA_SP5_NO!$G$20</f>
        <v>2160</v>
      </c>
      <c r="M12" s="381">
        <f>[11]STA_SP5_NO!$G$20</f>
        <v>91.14</v>
      </c>
      <c r="N12" s="249">
        <f t="shared" si="0"/>
        <v>62054.05999999999</v>
      </c>
    </row>
    <row r="13" spans="1:14" ht="15.75" thickBot="1" x14ac:dyDescent="0.3">
      <c r="A13" s="32">
        <v>10</v>
      </c>
      <c r="B13" s="33" t="s">
        <v>21</v>
      </c>
      <c r="C13" s="117">
        <f>[1]STA_SP5_NO!$G$26</f>
        <v>281368.92</v>
      </c>
      <c r="D13" s="68">
        <f>[2]STA_SP5_NO!$G$26</f>
        <v>226089.54</v>
      </c>
      <c r="E13" s="117">
        <f>[3]STA_SP5_NO!$G$26</f>
        <v>222450</v>
      </c>
      <c r="F13" s="118">
        <f>[4]STA_SP5_NO!$G$26</f>
        <v>181461.05</v>
      </c>
      <c r="G13" s="143">
        <f>[5]STA_SP5_NO!$G$26</f>
        <v>234591</v>
      </c>
      <c r="H13" s="126">
        <f>[6]STA_SP5_NO!$G$26</f>
        <v>151778.18</v>
      </c>
      <c r="I13" s="143">
        <f>[7]STA_SP5_NO!$G$26</f>
        <v>300784</v>
      </c>
      <c r="J13" s="126">
        <f>[8]STA_SP5_NO!$G$26</f>
        <v>260990</v>
      </c>
      <c r="K13" s="143">
        <f>[9]STA_SP5_NO!$G$26</f>
        <v>199938.44</v>
      </c>
      <c r="L13" s="379">
        <f>[10]STA_SP5_NO!$G$26</f>
        <v>373940</v>
      </c>
      <c r="M13" s="381">
        <f>[11]STA_SP5_NO!$G$26</f>
        <v>25201.06</v>
      </c>
      <c r="N13" s="249">
        <f t="shared" si="0"/>
        <v>2458592.19</v>
      </c>
    </row>
    <row r="14" spans="1:14" ht="15.75" thickBot="1" x14ac:dyDescent="0.3">
      <c r="A14" s="32">
        <v>11</v>
      </c>
      <c r="B14" s="33" t="s">
        <v>22</v>
      </c>
      <c r="C14" s="117">
        <f>[1]STA_SP5_NO!$G$33</f>
        <v>0</v>
      </c>
      <c r="D14" s="68">
        <f>[2]STA_SP5_NO!$G$33</f>
        <v>0</v>
      </c>
      <c r="E14" s="117">
        <f>[3]STA_SP5_NO!$G$33</f>
        <v>0</v>
      </c>
      <c r="F14" s="118">
        <f>[4]STA_SP5_NO!$G$33</f>
        <v>0</v>
      </c>
      <c r="G14" s="143">
        <f>[5]STA_SP5_NO!$G$33</f>
        <v>0</v>
      </c>
      <c r="H14" s="126">
        <f>[6]STA_SP5_NO!$G$33</f>
        <v>0</v>
      </c>
      <c r="I14" s="143">
        <f>[7]STA_SP5_NO!$G$33</f>
        <v>0</v>
      </c>
      <c r="J14" s="126">
        <f>[8]STA_SP5_NO!$G$33</f>
        <v>0</v>
      </c>
      <c r="K14" s="143">
        <f>[9]STA_SP5_NO!$G$33</f>
        <v>0</v>
      </c>
      <c r="L14" s="379">
        <f>[10]STA_SP5_NO!$G$33</f>
        <v>0</v>
      </c>
      <c r="M14" s="383">
        <f>[11]STA_SP5_NO!$G$33</f>
        <v>0</v>
      </c>
      <c r="N14" s="249">
        <f t="shared" si="0"/>
        <v>0</v>
      </c>
    </row>
    <row r="15" spans="1:14" ht="15.75" thickBot="1" x14ac:dyDescent="0.3">
      <c r="A15" s="32">
        <v>12</v>
      </c>
      <c r="B15" s="33" t="s">
        <v>23</v>
      </c>
      <c r="C15" s="117">
        <f>[1]STA_SP5_NO!$G$34</f>
        <v>0</v>
      </c>
      <c r="D15" s="68">
        <f>[2]STA_SP5_NO!$G$34</f>
        <v>0</v>
      </c>
      <c r="E15" s="117">
        <f>[3]STA_SP5_NO!$G$34</f>
        <v>0</v>
      </c>
      <c r="F15" s="118">
        <f>[4]STA_SP5_NO!$G$34</f>
        <v>0</v>
      </c>
      <c r="G15" s="143">
        <f>[5]STA_SP5_NO!$G$34</f>
        <v>0</v>
      </c>
      <c r="H15" s="126">
        <f>[6]STA_SP5_NO!$G$34</f>
        <v>0</v>
      </c>
      <c r="I15" s="143">
        <f>[7]STA_SP5_NO!$G$34</f>
        <v>0</v>
      </c>
      <c r="J15" s="126">
        <f>[8]STA_SP5_NO!$G$34</f>
        <v>0</v>
      </c>
      <c r="K15" s="143">
        <f>[9]STA_SP5_NO!$G$34</f>
        <v>0</v>
      </c>
      <c r="L15" s="379">
        <f>[10]STA_SP5_NO!$G$34</f>
        <v>0</v>
      </c>
      <c r="M15" s="383">
        <f>[11]STA_SP5_NO!$G$34</f>
        <v>0</v>
      </c>
      <c r="N15" s="249">
        <f t="shared" si="0"/>
        <v>0</v>
      </c>
    </row>
    <row r="16" spans="1:14" ht="15.75" thickBot="1" x14ac:dyDescent="0.3">
      <c r="A16" s="32">
        <v>13</v>
      </c>
      <c r="B16" s="33" t="s">
        <v>24</v>
      </c>
      <c r="C16" s="117">
        <f>[1]STA_SP5_NO!$G$35</f>
        <v>7465.2</v>
      </c>
      <c r="D16" s="68">
        <f>[2]STA_SP5_NO!$G$35</f>
        <v>837.5</v>
      </c>
      <c r="E16" s="117">
        <f>[3]STA_SP5_NO!$G$35</f>
        <v>1301</v>
      </c>
      <c r="F16" s="118">
        <f>[4]STA_SP5_NO!$G$35</f>
        <v>200</v>
      </c>
      <c r="G16" s="143">
        <f>[5]STA_SP5_NO!$G$35</f>
        <v>4182</v>
      </c>
      <c r="H16" s="126">
        <f>[6]STA_SP5_NO!$G$35</f>
        <v>185.01</v>
      </c>
      <c r="I16" s="143">
        <f>[7]STA_SP5_NO!$G$35</f>
        <v>5189</v>
      </c>
      <c r="J16" s="126">
        <f>[8]STA_SP5_NO!$G$35</f>
        <v>10986.27</v>
      </c>
      <c r="K16" s="143">
        <f>[9]STA_SP5_NO!$G$35</f>
        <v>1867</v>
      </c>
      <c r="L16" s="379">
        <f>[10]STA_SP5_NO!$G$35</f>
        <v>1135</v>
      </c>
      <c r="M16" s="381">
        <f>[11]STA_SP5_NO!$G$35</f>
        <v>23.35</v>
      </c>
      <c r="N16" s="249">
        <f t="shared" si="0"/>
        <v>33371.329999999994</v>
      </c>
    </row>
    <row r="17" spans="1:14" ht="15.75" thickBot="1" x14ac:dyDescent="0.3">
      <c r="A17" s="32">
        <v>14</v>
      </c>
      <c r="B17" s="33" t="s">
        <v>25</v>
      </c>
      <c r="C17" s="117">
        <f>[1]STA_SP5_NO!$G$36</f>
        <v>0</v>
      </c>
      <c r="D17" s="68">
        <f>[2]STA_SP5_NO!$G$36</f>
        <v>0</v>
      </c>
      <c r="E17" s="117">
        <f>[3]STA_SP5_NO!$G$36</f>
        <v>0</v>
      </c>
      <c r="F17" s="118">
        <f>[4]STA_SP5_NO!$G$36</f>
        <v>0</v>
      </c>
      <c r="G17" s="143">
        <f>[5]STA_SP5_NO!$G$36</f>
        <v>0</v>
      </c>
      <c r="H17" s="126">
        <f>[6]STA_SP5_NO!$G$36</f>
        <v>0</v>
      </c>
      <c r="I17" s="143">
        <f>[7]STA_SP5_NO!$G$36</f>
        <v>0</v>
      </c>
      <c r="J17" s="126">
        <f>[8]STA_SP5_NO!$G$36</f>
        <v>0</v>
      </c>
      <c r="K17" s="143">
        <f>[9]STA_SP5_NO!$G$36</f>
        <v>0</v>
      </c>
      <c r="L17" s="379">
        <f>[10]STA_SP5_NO!$G$36</f>
        <v>0</v>
      </c>
      <c r="M17" s="383">
        <f>[11]STA_SP5_NO!$G$36</f>
        <v>0</v>
      </c>
      <c r="N17" s="249">
        <f t="shared" si="0"/>
        <v>0</v>
      </c>
    </row>
    <row r="18" spans="1:14" ht="15.75" thickBot="1" x14ac:dyDescent="0.3">
      <c r="A18" s="32">
        <v>15</v>
      </c>
      <c r="B18" s="33" t="s">
        <v>26</v>
      </c>
      <c r="C18" s="117">
        <f>[1]STA_SP5_NO!$G$37</f>
        <v>0</v>
      </c>
      <c r="D18" s="68">
        <f>[2]STA_SP5_NO!$G$37</f>
        <v>0</v>
      </c>
      <c r="E18" s="117">
        <f>[3]STA_SP5_NO!$G$37</f>
        <v>0</v>
      </c>
      <c r="F18" s="118">
        <f>[4]STA_SP5_NO!$G$37</f>
        <v>0</v>
      </c>
      <c r="G18" s="143">
        <f>[5]STA_SP5_NO!$G$37</f>
        <v>0</v>
      </c>
      <c r="H18" s="126">
        <f>[6]STA_SP5_NO!$G$37</f>
        <v>0</v>
      </c>
      <c r="I18" s="143">
        <f>[7]STA_SP5_NO!$G$37</f>
        <v>0</v>
      </c>
      <c r="J18" s="126">
        <f>[8]STA_SP5_NO!$G$37</f>
        <v>0</v>
      </c>
      <c r="K18" s="143">
        <f>[9]STA_SP5_NO!$G$37</f>
        <v>0</v>
      </c>
      <c r="L18" s="379">
        <f>[10]STA_SP5_NO!$G$37</f>
        <v>0</v>
      </c>
      <c r="M18" s="383">
        <f>[11]STA_SP5_NO!$G$37</f>
        <v>0</v>
      </c>
      <c r="N18" s="249">
        <f t="shared" si="0"/>
        <v>0</v>
      </c>
    </row>
    <row r="19" spans="1:14" ht="15.75" thickBot="1" x14ac:dyDescent="0.3">
      <c r="A19" s="32">
        <v>16</v>
      </c>
      <c r="B19" s="33" t="s">
        <v>27</v>
      </c>
      <c r="C19" s="117">
        <f>[1]STA_SP5_NO!$G$38</f>
        <v>0</v>
      </c>
      <c r="D19" s="68">
        <f>[2]STA_SP5_NO!$G$38</f>
        <v>0</v>
      </c>
      <c r="E19" s="117">
        <f>[3]STA_SP5_NO!$G$38</f>
        <v>84</v>
      </c>
      <c r="F19" s="118">
        <f>[4]STA_SP5_NO!$G$38</f>
        <v>0</v>
      </c>
      <c r="G19" s="143">
        <f>[5]STA_SP5_NO!$G$38</f>
        <v>0</v>
      </c>
      <c r="H19" s="126">
        <f>[6]STA_SP5_NO!$G$38</f>
        <v>0</v>
      </c>
      <c r="I19" s="143">
        <f>[7]STA_SP5_NO!$G$38</f>
        <v>0</v>
      </c>
      <c r="J19" s="126">
        <f>[8]STA_SP5_NO!$G$38</f>
        <v>0</v>
      </c>
      <c r="K19" s="143">
        <f>[9]STA_SP5_NO!$G$38</f>
        <v>0</v>
      </c>
      <c r="L19" s="379">
        <f>[10]STA_SP5_NO!$G$38</f>
        <v>0</v>
      </c>
      <c r="M19" s="383">
        <f>[11]STA_SP5_NO!$G$38</f>
        <v>0</v>
      </c>
      <c r="N19" s="249">
        <f t="shared" si="0"/>
        <v>84</v>
      </c>
    </row>
    <row r="20" spans="1:14" ht="15.75" thickBot="1" x14ac:dyDescent="0.3">
      <c r="A20" s="32">
        <v>17</v>
      </c>
      <c r="B20" s="33" t="s">
        <v>28</v>
      </c>
      <c r="C20" s="117">
        <f>[1]STA_SP5_NO!$G$39</f>
        <v>0</v>
      </c>
      <c r="D20" s="68">
        <f>[2]STA_SP5_NO!$G$39</f>
        <v>0</v>
      </c>
      <c r="E20" s="117">
        <f>[3]STA_SP5_NO!$G$39</f>
        <v>0</v>
      </c>
      <c r="F20" s="118">
        <f>[4]STA_SP5_NO!$G$39</f>
        <v>0</v>
      </c>
      <c r="G20" s="143">
        <f>[5]STA_SP5_NO!$G$39</f>
        <v>0</v>
      </c>
      <c r="H20" s="126">
        <f>[6]STA_SP5_NO!$G$39</f>
        <v>0</v>
      </c>
      <c r="I20" s="143">
        <f>[7]STA_SP5_NO!$G$39</f>
        <v>0</v>
      </c>
      <c r="J20" s="126">
        <f>[8]STA_SP5_NO!$G$39</f>
        <v>0</v>
      </c>
      <c r="K20" s="143">
        <f>[9]STA_SP5_NO!$G$39</f>
        <v>0</v>
      </c>
      <c r="L20" s="379">
        <f>[10]STA_SP5_NO!$G$39</f>
        <v>0</v>
      </c>
      <c r="M20" s="383">
        <f>[11]STA_SP5_NO!$G$39</f>
        <v>0</v>
      </c>
      <c r="N20" s="249">
        <f t="shared" si="0"/>
        <v>0</v>
      </c>
    </row>
    <row r="21" spans="1:14" ht="15.75" thickBot="1" x14ac:dyDescent="0.3">
      <c r="A21" s="34">
        <v>18</v>
      </c>
      <c r="B21" s="35" t="s">
        <v>29</v>
      </c>
      <c r="C21" s="117">
        <f>[1]STA_SP5_NO!$G$40</f>
        <v>1362.88</v>
      </c>
      <c r="D21" s="68">
        <f>[2]STA_SP5_NO!$G$40</f>
        <v>873.86</v>
      </c>
      <c r="E21" s="117">
        <f>[3]STA_SP5_NO!$G$40</f>
        <v>2023</v>
      </c>
      <c r="F21" s="118">
        <f>[4]STA_SP5_NO!$G$40</f>
        <v>3207.86</v>
      </c>
      <c r="G21" s="143">
        <f>[5]STA_SP5_NO!$G$40</f>
        <v>1871</v>
      </c>
      <c r="H21" s="126">
        <f>[6]STA_SP5_NO!$G$40</f>
        <v>920.23</v>
      </c>
      <c r="I21" s="143">
        <f>[7]STA_SP5_NO!$G$40</f>
        <v>769</v>
      </c>
      <c r="J21" s="126">
        <f>[8]STA_SP5_NO!$G$40</f>
        <v>5026.38</v>
      </c>
      <c r="K21" s="143">
        <f>[9]STA_SP5_NO!$G$40</f>
        <v>863</v>
      </c>
      <c r="L21" s="379">
        <f>[10]STA_SP5_NO!$G$40</f>
        <v>2460</v>
      </c>
      <c r="M21" s="383">
        <f>[11]STA_SP5_NO!$G$40</f>
        <v>61.24</v>
      </c>
      <c r="N21" s="249">
        <f t="shared" si="0"/>
        <v>19438.45</v>
      </c>
    </row>
    <row r="22" spans="1:14" ht="15.75" thickBot="1" x14ac:dyDescent="0.3">
      <c r="A22" s="36"/>
      <c r="B22" s="37" t="s">
        <v>30</v>
      </c>
      <c r="C22" s="41">
        <f t="shared" ref="C22:F22" si="1">SUM(C4:C21)</f>
        <v>382646.14</v>
      </c>
      <c r="D22" s="42">
        <f>SUM(D4:D21)</f>
        <v>279340.12</v>
      </c>
      <c r="E22" s="41">
        <f t="shared" si="1"/>
        <v>273309</v>
      </c>
      <c r="F22" s="39">
        <f t="shared" si="1"/>
        <v>250721.03999999998</v>
      </c>
      <c r="G22" s="40">
        <f t="shared" ref="G22:N22" si="2">SUM(G4:G21)</f>
        <v>317799</v>
      </c>
      <c r="H22" s="39">
        <f t="shared" si="2"/>
        <v>159513.56000000003</v>
      </c>
      <c r="I22" s="40">
        <f t="shared" si="2"/>
        <v>346189</v>
      </c>
      <c r="J22" s="51">
        <f t="shared" si="2"/>
        <v>312014.58</v>
      </c>
      <c r="K22" s="40">
        <f t="shared" si="2"/>
        <v>247912.11</v>
      </c>
      <c r="L22" s="380">
        <f t="shared" si="2"/>
        <v>430592</v>
      </c>
      <c r="M22" s="384">
        <f t="shared" si="2"/>
        <v>31344.370000000003</v>
      </c>
      <c r="N22" s="250">
        <f t="shared" si="2"/>
        <v>3031380.9200000004</v>
      </c>
    </row>
    <row r="23" spans="1:14" ht="15.75" thickBot="1" x14ac:dyDescent="0.3">
      <c r="A23" s="1"/>
      <c r="B23" s="1"/>
      <c r="C23" s="1"/>
      <c r="D23" s="1"/>
      <c r="E23" s="1"/>
      <c r="F23" s="1"/>
      <c r="G23" s="341"/>
      <c r="H23" s="119"/>
      <c r="I23" s="341"/>
      <c r="J23" s="1"/>
      <c r="K23" s="341"/>
      <c r="L23" s="1"/>
      <c r="M23" s="348"/>
      <c r="N23" s="1"/>
    </row>
    <row r="24" spans="1:14" ht="15.75" thickBot="1" x14ac:dyDescent="0.3">
      <c r="A24" s="467" t="s">
        <v>31</v>
      </c>
      <c r="B24" s="468"/>
      <c r="C24" s="48">
        <f>C22/N22</f>
        <v>0.12622832632990247</v>
      </c>
      <c r="D24" s="47">
        <f>D22/N22</f>
        <v>9.2149461704733551E-2</v>
      </c>
      <c r="E24" s="48">
        <f>E22/N22</f>
        <v>9.0159899799065815E-2</v>
      </c>
      <c r="F24" s="47">
        <f>F22/N22</f>
        <v>8.2708523480447299E-2</v>
      </c>
      <c r="G24" s="48">
        <f>G22/N22</f>
        <v>0.10483637932246402</v>
      </c>
      <c r="H24" s="47">
        <f>H22/N22</f>
        <v>5.262075740715555E-2</v>
      </c>
      <c r="I24" s="48">
        <f>I22/N22</f>
        <v>0.11420174802710045</v>
      </c>
      <c r="J24" s="47">
        <f>J22/N22</f>
        <v>0.10292819946890738</v>
      </c>
      <c r="K24" s="48">
        <f>K22/N22</f>
        <v>8.1781906181556341E-2</v>
      </c>
      <c r="L24" s="47">
        <f>L22/N22</f>
        <v>0.14204483414113458</v>
      </c>
      <c r="M24" s="342">
        <f>M22/N22</f>
        <v>1.0339964137532409E-2</v>
      </c>
      <c r="N24" s="251">
        <f>SUM(C24:M24)</f>
        <v>1</v>
      </c>
    </row>
    <row r="25" spans="1:14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thickBot="1" x14ac:dyDescent="0.3">
      <c r="A26" s="422" t="s">
        <v>0</v>
      </c>
      <c r="B26" s="424" t="s">
        <v>1</v>
      </c>
      <c r="C26" s="492" t="s">
        <v>90</v>
      </c>
      <c r="D26" s="492"/>
      <c r="E26" s="492"/>
      <c r="F26" s="492"/>
      <c r="G26" s="492"/>
      <c r="H26" s="492"/>
      <c r="I26" s="479" t="s">
        <v>3</v>
      </c>
      <c r="J26" s="1"/>
      <c r="K26" s="1"/>
      <c r="L26" s="1"/>
      <c r="M26" s="1"/>
      <c r="N26" s="1"/>
    </row>
    <row r="27" spans="1:14" ht="15.75" thickBot="1" x14ac:dyDescent="0.3">
      <c r="A27" s="423"/>
      <c r="B27" s="426"/>
      <c r="C27" s="189" t="s">
        <v>11</v>
      </c>
      <c r="D27" s="215" t="s">
        <v>32</v>
      </c>
      <c r="E27" s="191" t="s">
        <v>7</v>
      </c>
      <c r="F27" s="127" t="s">
        <v>9</v>
      </c>
      <c r="G27" s="166" t="s">
        <v>4</v>
      </c>
      <c r="H27" s="211" t="s">
        <v>95</v>
      </c>
      <c r="I27" s="487"/>
      <c r="J27" s="81"/>
      <c r="K27" s="436" t="s">
        <v>33</v>
      </c>
      <c r="L27" s="437"/>
      <c r="M27" s="232">
        <f>N22</f>
        <v>3031380.9200000004</v>
      </c>
      <c r="N27" s="233">
        <f>M27/M29</f>
        <v>0.98919088257997323</v>
      </c>
    </row>
    <row r="28" spans="1:14" ht="15.75" thickBot="1" x14ac:dyDescent="0.3">
      <c r="A28" s="22">
        <v>19</v>
      </c>
      <c r="B28" s="128" t="s">
        <v>34</v>
      </c>
      <c r="C28" s="193">
        <f>[12]STA_SP4_ZO!$H$51</f>
        <v>6411</v>
      </c>
      <c r="D28" s="192">
        <f>[13]STA_SP4_ZO!$H$51</f>
        <v>10262</v>
      </c>
      <c r="E28" s="194">
        <f>[14]STA_SP4_ZO!$H$51</f>
        <v>12362.8</v>
      </c>
      <c r="F28" s="50">
        <f>[15]STA_SP4_ZO!$H$51</f>
        <v>1748</v>
      </c>
      <c r="G28" s="115">
        <f>[16]STA_SP4_ZO!$H$51</f>
        <v>1867.5</v>
      </c>
      <c r="H28" s="50">
        <f>[17]STA_SP4_ZO!$H$51</f>
        <v>473.3</v>
      </c>
      <c r="I28" s="244">
        <f>SUM(C28:H28)</f>
        <v>33124.6</v>
      </c>
      <c r="J28" s="81"/>
      <c r="K28" s="436" t="s">
        <v>34</v>
      </c>
      <c r="L28" s="437"/>
      <c r="M28" s="255">
        <f>I28</f>
        <v>33124.6</v>
      </c>
      <c r="N28" s="235">
        <f>M28/M29</f>
        <v>1.0809117420026704E-2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36" t="s">
        <v>3</v>
      </c>
      <c r="L29" s="437"/>
      <c r="M29" s="256">
        <f>M27+M28</f>
        <v>3064505.5200000005</v>
      </c>
      <c r="N29" s="237">
        <f>M29/M29</f>
        <v>1</v>
      </c>
    </row>
    <row r="30" spans="1:14" ht="15.75" thickBot="1" x14ac:dyDescent="0.3">
      <c r="A30" s="427" t="s">
        <v>35</v>
      </c>
      <c r="B30" s="428"/>
      <c r="C30" s="23">
        <f>C28/I28</f>
        <v>0.19354195975196684</v>
      </c>
      <c r="D30" s="82">
        <f>D28/I28</f>
        <v>0.30979996739583271</v>
      </c>
      <c r="E30" s="23">
        <f>E28/I28</f>
        <v>0.37322111059454305</v>
      </c>
      <c r="F30" s="82">
        <f>F28/I28</f>
        <v>5.2770448548812667E-2</v>
      </c>
      <c r="G30" s="23">
        <f>G28/I28</f>
        <v>5.6378039281983788E-2</v>
      </c>
      <c r="H30" s="82">
        <f>H28/I28</f>
        <v>1.4288474426861004E-2</v>
      </c>
      <c r="I30" s="231">
        <f>I28/I28</f>
        <v>1</v>
      </c>
      <c r="J30" s="1"/>
      <c r="K30" s="1"/>
      <c r="L30" s="1"/>
      <c r="M30" s="1"/>
      <c r="N30" s="1"/>
    </row>
  </sheetData>
  <mergeCells count="13">
    <mergeCell ref="N2:N3"/>
    <mergeCell ref="A24:B24"/>
    <mergeCell ref="K29:L29"/>
    <mergeCell ref="A30:B30"/>
    <mergeCell ref="A1:M1"/>
    <mergeCell ref="A26:A27"/>
    <mergeCell ref="B26:B27"/>
    <mergeCell ref="K27:L27"/>
    <mergeCell ref="K28:L28"/>
    <mergeCell ref="A2:A3"/>
    <mergeCell ref="B2:B3"/>
    <mergeCell ref="I26:I27"/>
    <mergeCell ref="C26:H26"/>
  </mergeCells>
  <pageMargins left="0.7" right="0.7" top="0.75" bottom="0.75" header="0.3" footer="0.3"/>
  <pageSetup paperSize="9"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I25" sqref="I25"/>
    </sheetView>
  </sheetViews>
  <sheetFormatPr defaultRowHeight="15" x14ac:dyDescent="0.25"/>
  <cols>
    <col min="1" max="1" width="3.85546875" customWidth="1"/>
    <col min="2" max="2" width="27.85546875" customWidth="1"/>
  </cols>
  <sheetData>
    <row r="1" spans="1:14" ht="24.75" customHeight="1" thickBot="1" x14ac:dyDescent="0.3">
      <c r="A1" s="26"/>
      <c r="B1" s="26"/>
      <c r="C1" s="455" t="s">
        <v>104</v>
      </c>
      <c r="D1" s="456"/>
      <c r="E1" s="456"/>
      <c r="F1" s="456"/>
      <c r="G1" s="456"/>
      <c r="H1" s="456"/>
      <c r="I1" s="456"/>
      <c r="J1" s="457"/>
      <c r="K1" s="457"/>
      <c r="L1" s="26"/>
      <c r="M1" s="26"/>
      <c r="N1" s="52"/>
    </row>
    <row r="2" spans="1:14" ht="15.75" thickBot="1" x14ac:dyDescent="0.3">
      <c r="A2" s="458" t="s">
        <v>0</v>
      </c>
      <c r="B2" s="460" t="s">
        <v>1</v>
      </c>
      <c r="C2" s="493" t="s">
        <v>2</v>
      </c>
      <c r="D2" s="494"/>
      <c r="E2" s="494"/>
      <c r="F2" s="494"/>
      <c r="G2" s="494"/>
      <c r="H2" s="494"/>
      <c r="I2" s="494"/>
      <c r="J2" s="494"/>
      <c r="K2" s="494"/>
      <c r="L2" s="494"/>
      <c r="M2" s="495"/>
      <c r="N2" s="505" t="s">
        <v>3</v>
      </c>
    </row>
    <row r="3" spans="1:14" x14ac:dyDescent="0.25">
      <c r="A3" s="497"/>
      <c r="B3" s="499"/>
      <c r="C3" s="508" t="s">
        <v>69</v>
      </c>
      <c r="D3" s="510" t="s">
        <v>4</v>
      </c>
      <c r="E3" s="501" t="s">
        <v>5</v>
      </c>
      <c r="F3" s="460" t="s">
        <v>6</v>
      </c>
      <c r="G3" s="512" t="s">
        <v>8</v>
      </c>
      <c r="H3" s="460" t="s">
        <v>94</v>
      </c>
      <c r="I3" s="501" t="s">
        <v>9</v>
      </c>
      <c r="J3" s="503" t="s">
        <v>38</v>
      </c>
      <c r="K3" s="501" t="s">
        <v>93</v>
      </c>
      <c r="L3" s="460" t="s">
        <v>11</v>
      </c>
      <c r="M3" s="514" t="s">
        <v>96</v>
      </c>
      <c r="N3" s="506"/>
    </row>
    <row r="4" spans="1:14" ht="15.75" thickBot="1" x14ac:dyDescent="0.3">
      <c r="A4" s="498"/>
      <c r="B4" s="500"/>
      <c r="C4" s="509"/>
      <c r="D4" s="511"/>
      <c r="E4" s="498"/>
      <c r="F4" s="498"/>
      <c r="G4" s="513"/>
      <c r="H4" s="461"/>
      <c r="I4" s="502"/>
      <c r="J4" s="504"/>
      <c r="K4" s="502"/>
      <c r="L4" s="461"/>
      <c r="M4" s="515"/>
      <c r="N4" s="507"/>
    </row>
    <row r="5" spans="1:14" ht="15.75" thickBot="1" x14ac:dyDescent="0.3">
      <c r="A5" s="30">
        <v>1</v>
      </c>
      <c r="B5" s="31" t="s">
        <v>39</v>
      </c>
      <c r="C5" s="117">
        <f>[1]STA_SP2_NO!$C$11</f>
        <v>89337</v>
      </c>
      <c r="D5" s="68">
        <f>[2]STA_SP2_NO!$C$11</f>
        <v>46985</v>
      </c>
      <c r="E5" s="117">
        <f>[3]STA_SP2_NO!$C$11</f>
        <v>30479</v>
      </c>
      <c r="F5" s="118">
        <f>[4]STA_SP2_NO!$C$11</f>
        <v>50262</v>
      </c>
      <c r="G5" s="385">
        <f>[5]STA_SP2_NO!$C$11</f>
        <v>51651</v>
      </c>
      <c r="H5" s="126">
        <f>[6]STA_SP2_NO!$C$11</f>
        <v>74576</v>
      </c>
      <c r="I5" s="143">
        <f>[7]STA_SP2_NO!$C$11</f>
        <v>114778</v>
      </c>
      <c r="J5" s="126">
        <f>[8]STA_SP2_NO!$C$11</f>
        <v>64707</v>
      </c>
      <c r="K5" s="143">
        <f>[9]STA_SP2_NO!$C$11</f>
        <v>37287</v>
      </c>
      <c r="L5" s="379">
        <f>[10]STA_SP2_NO!$C$11</f>
        <v>77800</v>
      </c>
      <c r="M5" s="332">
        <f>[11]STA_SP2_NO!$C$11</f>
        <v>4111</v>
      </c>
      <c r="N5" s="249">
        <f t="shared" ref="N5:N17" si="0">SUM(C5:M5)</f>
        <v>641973</v>
      </c>
    </row>
    <row r="6" spans="1:14" ht="15.75" thickBot="1" x14ac:dyDescent="0.3">
      <c r="A6" s="32">
        <v>2</v>
      </c>
      <c r="B6" s="33" t="s">
        <v>40</v>
      </c>
      <c r="C6" s="117">
        <f>[1]STA_SP2_NO!$C$12</f>
        <v>9633</v>
      </c>
      <c r="D6" s="68">
        <f>[2]STA_SP2_NO!$C$12</f>
        <v>5403</v>
      </c>
      <c r="E6" s="117">
        <f>[3]STA_SP2_NO!$C$12</f>
        <v>3117</v>
      </c>
      <c r="F6" s="118">
        <f>[4]STA_SP2_NO!$C$12</f>
        <v>6935</v>
      </c>
      <c r="G6" s="385">
        <f>[5]STA_SP2_NO!$C$12</f>
        <v>4528</v>
      </c>
      <c r="H6" s="126">
        <f>[6]STA_SP2_NO!$C$12</f>
        <v>5908</v>
      </c>
      <c r="I6" s="143">
        <f>[7]STA_SP2_NO!$C$12</f>
        <v>12680</v>
      </c>
      <c r="J6" s="126">
        <f>[8]STA_SP2_NO!$C$12</f>
        <v>6195</v>
      </c>
      <c r="K6" s="143">
        <f>[9]STA_SP2_NO!$C$12</f>
        <v>4105</v>
      </c>
      <c r="L6" s="379">
        <f>[10]STA_SP2_NO!$C$12</f>
        <v>6455</v>
      </c>
      <c r="M6" s="332">
        <f>[11]STA_SP2_NO!$C$12</f>
        <v>368</v>
      </c>
      <c r="N6" s="249">
        <f t="shared" si="0"/>
        <v>65327</v>
      </c>
    </row>
    <row r="7" spans="1:14" ht="15.75" thickBot="1" x14ac:dyDescent="0.3">
      <c r="A7" s="32">
        <v>3</v>
      </c>
      <c r="B7" s="33" t="s">
        <v>41</v>
      </c>
      <c r="C7" s="117">
        <f>[1]STA_SP2_NO!$C$13</f>
        <v>769</v>
      </c>
      <c r="D7" s="68">
        <f>[2]STA_SP2_NO!$C$13</f>
        <v>362</v>
      </c>
      <c r="E7" s="117">
        <f>[3]STA_SP2_NO!$C$13</f>
        <v>214</v>
      </c>
      <c r="F7" s="118">
        <f>[4]STA_SP2_NO!$C$13</f>
        <v>370</v>
      </c>
      <c r="G7" s="385">
        <f>[5]STA_SP2_NO!$C$13</f>
        <v>780</v>
      </c>
      <c r="H7" s="126">
        <f>[6]STA_SP2_NO!$C$13</f>
        <v>244</v>
      </c>
      <c r="I7" s="143">
        <f>[7]STA_SP2_NO!$C$13</f>
        <v>673</v>
      </c>
      <c r="J7" s="126">
        <f>[8]STA_SP2_NO!$C$13</f>
        <v>554</v>
      </c>
      <c r="K7" s="143">
        <f>[9]STA_SP2_NO!$C$13</f>
        <v>246</v>
      </c>
      <c r="L7" s="379">
        <f>[10]STA_SP2_NO!$C$13</f>
        <v>214</v>
      </c>
      <c r="M7" s="332">
        <f>[11]STA_SP2_NO!$C$13</f>
        <v>11</v>
      </c>
      <c r="N7" s="249">
        <f t="shared" si="0"/>
        <v>4437</v>
      </c>
    </row>
    <row r="8" spans="1:14" ht="15.75" thickBot="1" x14ac:dyDescent="0.3">
      <c r="A8" s="32">
        <v>4</v>
      </c>
      <c r="B8" s="33" t="s">
        <v>42</v>
      </c>
      <c r="C8" s="117">
        <f>[1]STA_SP2_NO!$C$14</f>
        <v>1670</v>
      </c>
      <c r="D8" s="68">
        <f>[2]STA_SP2_NO!$C$14</f>
        <v>913</v>
      </c>
      <c r="E8" s="117">
        <f>[3]STA_SP2_NO!$C$14</f>
        <v>236</v>
      </c>
      <c r="F8" s="118">
        <f>[4]STA_SP2_NO!$C$14</f>
        <v>653</v>
      </c>
      <c r="G8" s="385">
        <f>[5]STA_SP2_NO!$C$14</f>
        <v>472</v>
      </c>
      <c r="H8" s="126">
        <f>[6]STA_SP2_NO!$C$14</f>
        <v>865</v>
      </c>
      <c r="I8" s="143">
        <f>[7]STA_SP2_NO!$C$14</f>
        <v>1229</v>
      </c>
      <c r="J8" s="126">
        <f>[8]STA_SP2_NO!$C$14</f>
        <v>1176</v>
      </c>
      <c r="K8" s="143">
        <f>[9]STA_SP2_NO!$C$14</f>
        <v>572</v>
      </c>
      <c r="L8" s="379">
        <f>[10]STA_SP2_NO!$C$14</f>
        <v>1331</v>
      </c>
      <c r="M8" s="332">
        <f>[11]STA_SP2_NO!$C$14</f>
        <v>66</v>
      </c>
      <c r="N8" s="249">
        <f t="shared" si="0"/>
        <v>9183</v>
      </c>
    </row>
    <row r="9" spans="1:14" ht="15.75" thickBot="1" x14ac:dyDescent="0.3">
      <c r="A9" s="32">
        <v>5</v>
      </c>
      <c r="B9" s="33" t="s">
        <v>43</v>
      </c>
      <c r="C9" s="117">
        <f>[1]STA_SP2_NO!$C$15</f>
        <v>146</v>
      </c>
      <c r="D9" s="68">
        <f>[2]STA_SP2_NO!$C$15</f>
        <v>39</v>
      </c>
      <c r="E9" s="117">
        <f>[3]STA_SP2_NO!$C$15</f>
        <v>100</v>
      </c>
      <c r="F9" s="118">
        <f>[4]STA_SP2_NO!$C$15</f>
        <v>59</v>
      </c>
      <c r="G9" s="385">
        <f>[5]STA_SP2_NO!$C$15</f>
        <v>39</v>
      </c>
      <c r="H9" s="126">
        <f>[6]STA_SP2_NO!$C$15</f>
        <v>315</v>
      </c>
      <c r="I9" s="143">
        <f>[7]STA_SP2_NO!$C$15</f>
        <v>92</v>
      </c>
      <c r="J9" s="126">
        <f>[8]STA_SP2_NO!$C$15</f>
        <v>319</v>
      </c>
      <c r="K9" s="143">
        <f>[9]STA_SP2_NO!$C$15</f>
        <v>36</v>
      </c>
      <c r="L9" s="379">
        <f>[10]STA_SP2_NO!$C$15</f>
        <v>58</v>
      </c>
      <c r="M9" s="332">
        <f>[11]STA_SP2_NO!$C$15</f>
        <v>1</v>
      </c>
      <c r="N9" s="249">
        <f t="shared" si="0"/>
        <v>1204</v>
      </c>
    </row>
    <row r="10" spans="1:14" ht="15.75" thickBot="1" x14ac:dyDescent="0.3">
      <c r="A10" s="32">
        <v>6</v>
      </c>
      <c r="B10" s="33" t="s">
        <v>44</v>
      </c>
      <c r="C10" s="117">
        <f>[1]STA_SP2_NO!$C$16</f>
        <v>7559</v>
      </c>
      <c r="D10" s="68">
        <f>[2]STA_SP2_NO!$C$16</f>
        <v>3972</v>
      </c>
      <c r="E10" s="117">
        <f>[3]STA_SP2_NO!$C$16</f>
        <v>1922</v>
      </c>
      <c r="F10" s="118">
        <f>[4]STA_SP2_NO!$C$16</f>
        <v>5258</v>
      </c>
      <c r="G10" s="385">
        <f>[5]STA_SP2_NO!$C$16</f>
        <v>3784</v>
      </c>
      <c r="H10" s="126">
        <f>[6]STA_SP2_NO!$C$16</f>
        <v>6075</v>
      </c>
      <c r="I10" s="143">
        <f>[7]STA_SP2_NO!$C$16</f>
        <v>8287</v>
      </c>
      <c r="J10" s="126">
        <f>[8]STA_SP2_NO!$C$16</f>
        <v>5432</v>
      </c>
      <c r="K10" s="143">
        <f>[9]STA_SP2_NO!$C$16</f>
        <v>2485</v>
      </c>
      <c r="L10" s="379">
        <f>[10]STA_SP2_NO!$C$16</f>
        <v>8518</v>
      </c>
      <c r="M10" s="332">
        <f>[11]STA_SP2_NO!$C$16</f>
        <v>80</v>
      </c>
      <c r="N10" s="249">
        <f t="shared" si="0"/>
        <v>53372</v>
      </c>
    </row>
    <row r="11" spans="1:14" ht="15.75" thickBot="1" x14ac:dyDescent="0.3">
      <c r="A11" s="32">
        <v>7</v>
      </c>
      <c r="B11" s="33" t="s">
        <v>45</v>
      </c>
      <c r="C11" s="117">
        <f>[1]STA_SP2_NO!$C$17</f>
        <v>2367</v>
      </c>
      <c r="D11" s="68">
        <f>[2]STA_SP2_NO!$C$17</f>
        <v>1745</v>
      </c>
      <c r="E11" s="117">
        <f>[3]STA_SP2_NO!$C$17</f>
        <v>709</v>
      </c>
      <c r="F11" s="118">
        <f>[4]STA_SP2_NO!$C$17</f>
        <v>1672</v>
      </c>
      <c r="G11" s="385">
        <f>[5]STA_SP2_NO!$C$17</f>
        <v>892</v>
      </c>
      <c r="H11" s="126">
        <f>[6]STA_SP2_NO!$C$17</f>
        <v>1447</v>
      </c>
      <c r="I11" s="143">
        <f>[7]STA_SP2_NO!$C$17</f>
        <v>2462</v>
      </c>
      <c r="J11" s="126">
        <f>[8]STA_SP2_NO!$C$17</f>
        <v>1842</v>
      </c>
      <c r="K11" s="143">
        <f>[9]STA_SP2_NO!$C$17</f>
        <v>1049</v>
      </c>
      <c r="L11" s="379">
        <f>[10]STA_SP2_NO!$C$17</f>
        <v>1538</v>
      </c>
      <c r="M11" s="332">
        <f>[11]STA_SP2_NO!$C$17</f>
        <v>83</v>
      </c>
      <c r="N11" s="249">
        <f t="shared" si="0"/>
        <v>15806</v>
      </c>
    </row>
    <row r="12" spans="1:14" ht="15.75" thickBot="1" x14ac:dyDescent="0.3">
      <c r="A12" s="32">
        <v>8</v>
      </c>
      <c r="B12" s="33" t="s">
        <v>46</v>
      </c>
      <c r="C12" s="117">
        <f>[1]STA_SP2_NO!$C$18</f>
        <v>451</v>
      </c>
      <c r="D12" s="68">
        <f>[2]STA_SP2_NO!$C$18</f>
        <v>116</v>
      </c>
      <c r="E12" s="117">
        <f>[3]STA_SP2_NO!$C$18</f>
        <v>139</v>
      </c>
      <c r="F12" s="118">
        <f>[4]STA_SP2_NO!$C$18</f>
        <v>190</v>
      </c>
      <c r="G12" s="385">
        <f>[5]STA_SP2_NO!$C$18</f>
        <v>179</v>
      </c>
      <c r="H12" s="126">
        <f>[6]STA_SP2_NO!$C$18</f>
        <v>0</v>
      </c>
      <c r="I12" s="143">
        <f>[7]STA_SP2_NO!$C$18</f>
        <v>452</v>
      </c>
      <c r="J12" s="126">
        <f>[8]STA_SP2_NO!$C$18</f>
        <v>426</v>
      </c>
      <c r="K12" s="143">
        <f>[9]STA_SP2_NO!$C$18</f>
        <v>124</v>
      </c>
      <c r="L12" s="379">
        <f>[10]STA_SP2_NO!$C$18</f>
        <v>170</v>
      </c>
      <c r="M12" s="332">
        <f>[11]STA_SP2_NO!$C$18</f>
        <v>10</v>
      </c>
      <c r="N12" s="249">
        <f t="shared" si="0"/>
        <v>2257</v>
      </c>
    </row>
    <row r="13" spans="1:14" ht="23.25" thickBot="1" x14ac:dyDescent="0.3">
      <c r="A13" s="32">
        <v>9</v>
      </c>
      <c r="B13" s="53" t="s">
        <v>47</v>
      </c>
      <c r="C13" s="117">
        <f>[1]STA_SP2_NO!$C$19</f>
        <v>0</v>
      </c>
      <c r="D13" s="68">
        <f>[2]STA_SP2_NO!$C$19</f>
        <v>0</v>
      </c>
      <c r="E13" s="117">
        <f>[3]STA_SP2_NO!$C$19</f>
        <v>0</v>
      </c>
      <c r="F13" s="118">
        <f>[4]STA_SP2_NO!$C$19</f>
        <v>0</v>
      </c>
      <c r="G13" s="385">
        <f>[5]STA_SP2_NO!$C$19</f>
        <v>0</v>
      </c>
      <c r="H13" s="126">
        <f>[6]STA_SP2_NO!$C$19</f>
        <v>0</v>
      </c>
      <c r="I13" s="143">
        <f>[7]STA_SP2_NO!$C$19</f>
        <v>0</v>
      </c>
      <c r="J13" s="126">
        <f>[8]STA_SP2_NO!$C$19</f>
        <v>0</v>
      </c>
      <c r="K13" s="143">
        <f>[9]STA_SP2_NO!$C$19</f>
        <v>0</v>
      </c>
      <c r="L13" s="379">
        <f>[10]STA_SP2_NO!$C$19</f>
        <v>0</v>
      </c>
      <c r="M13" s="332">
        <f>[11]STA_SP2_NO!$C$19</f>
        <v>0</v>
      </c>
      <c r="N13" s="249">
        <f t="shared" si="0"/>
        <v>0</v>
      </c>
    </row>
    <row r="14" spans="1:14" ht="23.25" thickBot="1" x14ac:dyDescent="0.3">
      <c r="A14" s="32">
        <v>10</v>
      </c>
      <c r="B14" s="53" t="s">
        <v>48</v>
      </c>
      <c r="C14" s="62">
        <f>[1]STA_SP2_NO!$C$20</f>
        <v>0</v>
      </c>
      <c r="D14" s="68">
        <f>[2]STA_SP2_NO!$C$20</f>
        <v>0</v>
      </c>
      <c r="E14" s="117">
        <f>[3]STA_SP2_NO!$C$20</f>
        <v>0</v>
      </c>
      <c r="F14" s="118">
        <f>[4]STA_SP2_NO!$C$20</f>
        <v>0</v>
      </c>
      <c r="G14" s="385">
        <f>[5]STA_SP2_NO!$C$20</f>
        <v>0</v>
      </c>
      <c r="H14" s="126">
        <f>[6]STA_SP2_NO!$C$20</f>
        <v>0</v>
      </c>
      <c r="I14" s="143">
        <f>[7]STA_SP2_NO!$C$20</f>
        <v>0</v>
      </c>
      <c r="J14" s="126">
        <f>[8]STA_SP2_NO!$C$20</f>
        <v>0</v>
      </c>
      <c r="K14" s="143">
        <f>[9]STA_SP2_NO!$C$20</f>
        <v>0</v>
      </c>
      <c r="L14" s="379">
        <f>[10]STA_SP2_NO!$C$20</f>
        <v>0</v>
      </c>
      <c r="M14" s="332">
        <f>[11]STA_SP2_NO!$C$20</f>
        <v>0</v>
      </c>
      <c r="N14" s="249">
        <f t="shared" si="0"/>
        <v>0</v>
      </c>
    </row>
    <row r="15" spans="1:14" ht="15.75" thickBot="1" x14ac:dyDescent="0.3">
      <c r="A15" s="32">
        <v>11</v>
      </c>
      <c r="B15" s="33" t="s">
        <v>49</v>
      </c>
      <c r="C15" s="62">
        <f>[1]STA_SP2_NO!$C$21</f>
        <v>0</v>
      </c>
      <c r="D15" s="68">
        <f>[2]STA_SP2_NO!$C$21</f>
        <v>0</v>
      </c>
      <c r="E15" s="117">
        <f>[3]STA_SP2_NO!$C$21</f>
        <v>0</v>
      </c>
      <c r="F15" s="118">
        <f>[4]STA_SP2_NO!$C$21</f>
        <v>0</v>
      </c>
      <c r="G15" s="385">
        <f>[5]STA_SP2_NO!$C$21</f>
        <v>1295</v>
      </c>
      <c r="H15" s="126">
        <f>[6]STA_SP2_NO!$C$21</f>
        <v>0</v>
      </c>
      <c r="I15" s="143">
        <f>[7]STA_SP2_NO!$C$21</f>
        <v>0</v>
      </c>
      <c r="J15" s="126">
        <f>[8]STA_SP2_NO!$C$21</f>
        <v>0</v>
      </c>
      <c r="K15" s="143">
        <f>[9]STA_SP2_NO!$C$21</f>
        <v>0</v>
      </c>
      <c r="L15" s="379">
        <f>[10]STA_SP2_NO!$C$21</f>
        <v>0</v>
      </c>
      <c r="M15" s="332">
        <f>[11]STA_SP2_NO!$C$21</f>
        <v>180</v>
      </c>
      <c r="N15" s="249">
        <f t="shared" si="0"/>
        <v>1475</v>
      </c>
    </row>
    <row r="16" spans="1:14" ht="49.5" customHeight="1" thickBot="1" x14ac:dyDescent="0.3">
      <c r="A16" s="32">
        <v>12</v>
      </c>
      <c r="B16" s="53" t="s">
        <v>50</v>
      </c>
      <c r="C16" s="62">
        <f>[1]STA_SP2_NO!$C$22</f>
        <v>0</v>
      </c>
      <c r="D16" s="68">
        <f>[2]STA_SP2_NO!$C$22</f>
        <v>0</v>
      </c>
      <c r="E16" s="117">
        <f>[3]STA_SP2_NO!$C$22</f>
        <v>0</v>
      </c>
      <c r="F16" s="118">
        <f>[4]STA_SP2_NO!$C$22</f>
        <v>0</v>
      </c>
      <c r="G16" s="385">
        <f>[5]STA_SP2_NO!$C$22</f>
        <v>0</v>
      </c>
      <c r="H16" s="126">
        <f>[6]STA_SP2_NO!$C$22</f>
        <v>0</v>
      </c>
      <c r="I16" s="143">
        <f>[7]STA_SP2_NO!$C$22</f>
        <v>0</v>
      </c>
      <c r="J16" s="126">
        <f>[8]STA_SP2_NO!$C$22</f>
        <v>0</v>
      </c>
      <c r="K16" s="143">
        <f>[9]STA_SP2_NO!$C$22</f>
        <v>0</v>
      </c>
      <c r="L16" s="379">
        <f>[10]STA_SP2_NO!$C$22</f>
        <v>0</v>
      </c>
      <c r="M16" s="386">
        <f>[11]STA_SP2_NO!$C$22</f>
        <v>0</v>
      </c>
      <c r="N16" s="249">
        <f t="shared" si="0"/>
        <v>0</v>
      </c>
    </row>
    <row r="17" spans="1:14" ht="34.5" thickBot="1" x14ac:dyDescent="0.3">
      <c r="A17" s="32">
        <v>13</v>
      </c>
      <c r="B17" s="53" t="s">
        <v>51</v>
      </c>
      <c r="C17" s="62">
        <f>[1]STA_SP2_NO!$C$23</f>
        <v>172</v>
      </c>
      <c r="D17" s="68">
        <f>[2]STA_SP2_NO!$C$23</f>
        <v>0</v>
      </c>
      <c r="E17" s="117">
        <f>[3]STA_SP2_NO!$C$23</f>
        <v>0</v>
      </c>
      <c r="F17" s="118">
        <f>[4]STA_SP2_NO!$C$23</f>
        <v>0</v>
      </c>
      <c r="G17" s="385">
        <f>[5]STA_SP2_NO!$C$23</f>
        <v>99</v>
      </c>
      <c r="H17" s="126">
        <f>[6]STA_SP2_NO!$C$23</f>
        <v>0</v>
      </c>
      <c r="I17" s="143">
        <f>[7]STA_SP2_NO!$C$23</f>
        <v>0</v>
      </c>
      <c r="J17" s="126">
        <f>[8]STA_SP2_NO!$C$23</f>
        <v>0</v>
      </c>
      <c r="K17" s="143">
        <f>[9]STA_SP2_NO!$C$23</f>
        <v>0</v>
      </c>
      <c r="L17" s="379">
        <f>[10]STA_SP2_NO!$C$23</f>
        <v>2</v>
      </c>
      <c r="M17" s="386">
        <f>[11]STA_SP2_NO!$C$23</f>
        <v>0</v>
      </c>
      <c r="N17" s="249">
        <f t="shared" si="0"/>
        <v>273</v>
      </c>
    </row>
    <row r="18" spans="1:14" ht="15.75" thickBot="1" x14ac:dyDescent="0.3">
      <c r="A18" s="36"/>
      <c r="B18" s="37" t="s">
        <v>37</v>
      </c>
      <c r="C18" s="41">
        <f t="shared" ref="C18:F18" si="1">SUM(C5:C17)</f>
        <v>112104</v>
      </c>
      <c r="D18" s="42">
        <f>SUM(D5:D17)</f>
        <v>59535</v>
      </c>
      <c r="E18" s="41">
        <f t="shared" si="1"/>
        <v>36916</v>
      </c>
      <c r="F18" s="39">
        <f t="shared" si="1"/>
        <v>65399</v>
      </c>
      <c r="G18" s="40">
        <f t="shared" ref="G18:N18" si="2">SUM(G5:G17)</f>
        <v>63719</v>
      </c>
      <c r="H18" s="39">
        <f t="shared" si="2"/>
        <v>89430</v>
      </c>
      <c r="I18" s="40">
        <f t="shared" si="2"/>
        <v>140653</v>
      </c>
      <c r="J18" s="39">
        <f t="shared" si="2"/>
        <v>80651</v>
      </c>
      <c r="K18" s="40">
        <f t="shared" si="2"/>
        <v>45904</v>
      </c>
      <c r="L18" s="380">
        <f t="shared" si="2"/>
        <v>96086</v>
      </c>
      <c r="M18" s="333">
        <f t="shared" si="2"/>
        <v>4910</v>
      </c>
      <c r="N18" s="250">
        <f t="shared" si="2"/>
        <v>795307</v>
      </c>
    </row>
    <row r="19" spans="1:14" ht="15.75" thickBot="1" x14ac:dyDescent="0.3">
      <c r="A19" s="1"/>
      <c r="B19" s="1"/>
      <c r="C19" s="1"/>
      <c r="D19" s="1"/>
      <c r="E19" s="1"/>
      <c r="F19" s="1"/>
      <c r="G19" s="341"/>
      <c r="H19" s="1"/>
      <c r="I19" s="341"/>
      <c r="J19" s="1"/>
      <c r="K19" s="341"/>
      <c r="L19" s="1"/>
      <c r="M19" s="341"/>
      <c r="N19" s="1"/>
    </row>
    <row r="20" spans="1:14" ht="15.75" thickBot="1" x14ac:dyDescent="0.3">
      <c r="A20" s="467" t="s">
        <v>53</v>
      </c>
      <c r="B20" s="468"/>
      <c r="C20" s="48">
        <f>C18/N18</f>
        <v>0.14095688834626124</v>
      </c>
      <c r="D20" s="47">
        <f>D18/N18</f>
        <v>7.485788506828181E-2</v>
      </c>
      <c r="E20" s="48">
        <f>E18/N18</f>
        <v>4.6417295459489229E-2</v>
      </c>
      <c r="F20" s="47">
        <f>F18/N18</f>
        <v>8.2231138415731278E-2</v>
      </c>
      <c r="G20" s="48">
        <f>G18/N18</f>
        <v>8.0118746597225982E-2</v>
      </c>
      <c r="H20" s="47">
        <f>H18/N18</f>
        <v>0.11244714305293428</v>
      </c>
      <c r="I20" s="48">
        <f>I18/N18</f>
        <v>0.1768537181239446</v>
      </c>
      <c r="J20" s="47">
        <f>J18/N18</f>
        <v>0.10140863842516161</v>
      </c>
      <c r="K20" s="48">
        <f>K18/N18</f>
        <v>5.7718591688492617E-2</v>
      </c>
      <c r="L20" s="47">
        <f>L18/N18</f>
        <v>0.12081623825767911</v>
      </c>
      <c r="M20" s="342">
        <f>M18/N18</f>
        <v>6.1737165647982473E-3</v>
      </c>
      <c r="N20" s="251">
        <f>SUM(C20:M20)</f>
        <v>0.99999999999999978</v>
      </c>
    </row>
  </sheetData>
  <mergeCells count="17">
    <mergeCell ref="N2:N4"/>
    <mergeCell ref="C3:C4"/>
    <mergeCell ref="D3:D4"/>
    <mergeCell ref="E3:E4"/>
    <mergeCell ref="F3:F4"/>
    <mergeCell ref="G3:G4"/>
    <mergeCell ref="L3:L4"/>
    <mergeCell ref="C2:M2"/>
    <mergeCell ref="M3:M4"/>
    <mergeCell ref="A20:B20"/>
    <mergeCell ref="C1:K1"/>
    <mergeCell ref="A2:A4"/>
    <mergeCell ref="B2:B4"/>
    <mergeCell ref="H3:H4"/>
    <mergeCell ref="I3:I4"/>
    <mergeCell ref="J3:J4"/>
    <mergeCell ref="K3:K4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K29" sqref="K29"/>
    </sheetView>
  </sheetViews>
  <sheetFormatPr defaultRowHeight="15" x14ac:dyDescent="0.25"/>
  <cols>
    <col min="1" max="1" width="4.42578125" customWidth="1"/>
    <col min="2" max="2" width="28.28515625" customWidth="1"/>
    <col min="3" max="3" width="9.140625" customWidth="1"/>
  </cols>
  <sheetData>
    <row r="1" spans="1:14" ht="26.25" customHeight="1" thickBot="1" x14ac:dyDescent="0.3">
      <c r="A1" s="120"/>
      <c r="B1" s="26"/>
      <c r="C1" s="455" t="s">
        <v>105</v>
      </c>
      <c r="D1" s="456"/>
      <c r="E1" s="456"/>
      <c r="F1" s="456"/>
      <c r="G1" s="456"/>
      <c r="H1" s="456"/>
      <c r="I1" s="456"/>
      <c r="J1" s="457"/>
      <c r="K1" s="457"/>
      <c r="L1" s="26"/>
      <c r="M1" s="26"/>
      <c r="N1" s="155" t="s">
        <v>52</v>
      </c>
    </row>
    <row r="2" spans="1:14" ht="15.75" thickBot="1" x14ac:dyDescent="0.3">
      <c r="A2" s="458" t="s">
        <v>0</v>
      </c>
      <c r="B2" s="460" t="s">
        <v>1</v>
      </c>
      <c r="C2" s="493" t="s">
        <v>2</v>
      </c>
      <c r="D2" s="494"/>
      <c r="E2" s="494"/>
      <c r="F2" s="494"/>
      <c r="G2" s="494"/>
      <c r="H2" s="494"/>
      <c r="I2" s="494"/>
      <c r="J2" s="494"/>
      <c r="K2" s="494"/>
      <c r="L2" s="494"/>
      <c r="M2" s="495"/>
      <c r="N2" s="505" t="s">
        <v>3</v>
      </c>
    </row>
    <row r="3" spans="1:14" ht="12.75" customHeight="1" x14ac:dyDescent="0.25">
      <c r="A3" s="497"/>
      <c r="B3" s="499"/>
      <c r="C3" s="524" t="s">
        <v>69</v>
      </c>
      <c r="D3" s="499" t="s">
        <v>4</v>
      </c>
      <c r="E3" s="519" t="s">
        <v>5</v>
      </c>
      <c r="F3" s="499" t="s">
        <v>6</v>
      </c>
      <c r="G3" s="501" t="s">
        <v>8</v>
      </c>
      <c r="H3" s="460" t="s">
        <v>94</v>
      </c>
      <c r="I3" s="501" t="s">
        <v>9</v>
      </c>
      <c r="J3" s="520" t="s">
        <v>38</v>
      </c>
      <c r="K3" s="501" t="s">
        <v>93</v>
      </c>
      <c r="L3" s="460" t="s">
        <v>11</v>
      </c>
      <c r="M3" s="528" t="s">
        <v>96</v>
      </c>
      <c r="N3" s="506"/>
    </row>
    <row r="4" spans="1:14" ht="9" customHeight="1" x14ac:dyDescent="0.25">
      <c r="A4" s="516"/>
      <c r="B4" s="517"/>
      <c r="C4" s="525"/>
      <c r="D4" s="517"/>
      <c r="E4" s="527"/>
      <c r="F4" s="517"/>
      <c r="G4" s="519"/>
      <c r="H4" s="499"/>
      <c r="I4" s="519"/>
      <c r="J4" s="521"/>
      <c r="K4" s="519"/>
      <c r="L4" s="499"/>
      <c r="M4" s="529"/>
      <c r="N4" s="523"/>
    </row>
    <row r="5" spans="1:14" ht="5.25" customHeight="1" thickBot="1" x14ac:dyDescent="0.3">
      <c r="A5" s="498"/>
      <c r="B5" s="500"/>
      <c r="C5" s="526"/>
      <c r="D5" s="498"/>
      <c r="E5" s="498"/>
      <c r="F5" s="498"/>
      <c r="G5" s="502"/>
      <c r="H5" s="461"/>
      <c r="I5" s="502"/>
      <c r="J5" s="522"/>
      <c r="K5" s="502"/>
      <c r="L5" s="461"/>
      <c r="M5" s="530"/>
      <c r="N5" s="507"/>
    </row>
    <row r="6" spans="1:14" ht="15.75" thickBot="1" x14ac:dyDescent="0.3">
      <c r="A6" s="30">
        <v>1</v>
      </c>
      <c r="B6" s="31" t="s">
        <v>39</v>
      </c>
      <c r="C6" s="61">
        <f>[1]STA_SP2_NO!$D$11</f>
        <v>495520.31</v>
      </c>
      <c r="D6" s="68">
        <f>[2]STA_SP2_NO!$D$11</f>
        <v>259178.93</v>
      </c>
      <c r="E6" s="117">
        <f>[3]STA_SP2_NO!$D$11</f>
        <v>174991</v>
      </c>
      <c r="F6" s="126">
        <f>[4]STA_SP2_NO!$D$11</f>
        <v>299470.43</v>
      </c>
      <c r="G6" s="117">
        <f>[5]STA_SP2_NO!$D$11</f>
        <v>281817</v>
      </c>
      <c r="H6" s="126">
        <f>[6]STA_SP2_NO!$D$11</f>
        <v>423457.29</v>
      </c>
      <c r="I6" s="117">
        <f>[7]STA_SP2_NO!$D$11</f>
        <v>670052</v>
      </c>
      <c r="J6" s="68">
        <f>[8]STA_SP2_NO!$D$11</f>
        <v>355875</v>
      </c>
      <c r="K6" s="62">
        <f>[9]STA_SP2_NO!$D$11</f>
        <v>215331.77</v>
      </c>
      <c r="L6" s="68">
        <f>[10]STA_SP2_NO!$D$11</f>
        <v>434433</v>
      </c>
      <c r="M6" s="332">
        <f>[11]STA_SP2_NO!$D$11</f>
        <v>23745.83</v>
      </c>
      <c r="N6" s="249">
        <f t="shared" ref="N6:N18" si="0">SUM(C6:M6)</f>
        <v>3633872.56</v>
      </c>
    </row>
    <row r="7" spans="1:14" ht="15.75" thickBot="1" x14ac:dyDescent="0.3">
      <c r="A7" s="32">
        <v>2</v>
      </c>
      <c r="B7" s="33" t="s">
        <v>40</v>
      </c>
      <c r="C7" s="61">
        <f>[1]STA_SP2_NO!$D$12</f>
        <v>112021.49</v>
      </c>
      <c r="D7" s="68">
        <f>[2]STA_SP2_NO!$D$12</f>
        <v>63687.72</v>
      </c>
      <c r="E7" s="117">
        <f>[3]STA_SP2_NO!$D$12</f>
        <v>35599</v>
      </c>
      <c r="F7" s="126">
        <f>[4]STA_SP2_NO!$D$12</f>
        <v>79004.41</v>
      </c>
      <c r="G7" s="117">
        <f>[5]STA_SP2_NO!$D$12</f>
        <v>51533</v>
      </c>
      <c r="H7" s="126">
        <f>[6]STA_SP2_NO!$D$12</f>
        <v>62271</v>
      </c>
      <c r="I7" s="117">
        <f>[7]STA_SP2_NO!$D$12</f>
        <v>132636</v>
      </c>
      <c r="J7" s="68">
        <f>[8]STA_SP2_NO!$D$12</f>
        <v>69782</v>
      </c>
      <c r="K7" s="62">
        <f>[9]STA_SP2_NO!$D$12</f>
        <v>48559.28</v>
      </c>
      <c r="L7" s="68">
        <f>[10]STA_SP2_NO!$D$12</f>
        <v>63875</v>
      </c>
      <c r="M7" s="332">
        <f>[11]STA_SP2_NO!$D$12</f>
        <v>3859.55</v>
      </c>
      <c r="N7" s="249">
        <f t="shared" si="0"/>
        <v>722828.45000000007</v>
      </c>
    </row>
    <row r="8" spans="1:14" ht="15.75" thickBot="1" x14ac:dyDescent="0.3">
      <c r="A8" s="32">
        <v>3</v>
      </c>
      <c r="B8" s="33" t="s">
        <v>41</v>
      </c>
      <c r="C8" s="61">
        <f>[1]STA_SP2_NO!$D$13</f>
        <v>17228.490000000002</v>
      </c>
      <c r="D8" s="68">
        <f>[2]STA_SP2_NO!$D$13</f>
        <v>6947.27</v>
      </c>
      <c r="E8" s="117">
        <f>[3]STA_SP2_NO!$D$13</f>
        <v>4426</v>
      </c>
      <c r="F8" s="126">
        <f>[4]STA_SP2_NO!$D$13</f>
        <v>8128.22</v>
      </c>
      <c r="G8" s="117">
        <f>[5]STA_SP2_NO!$D$13</f>
        <v>5636</v>
      </c>
      <c r="H8" s="126">
        <f>[6]STA_SP2_NO!$D$13</f>
        <v>5600.06</v>
      </c>
      <c r="I8" s="117">
        <f>[7]STA_SP2_NO!$D$13</f>
        <v>16930</v>
      </c>
      <c r="J8" s="68">
        <f>[8]STA_SP2_NO!$D$13</f>
        <v>11516</v>
      </c>
      <c r="K8" s="62">
        <f>[9]STA_SP2_NO!$D$13</f>
        <v>5218.3999999999996</v>
      </c>
      <c r="L8" s="68">
        <f>[10]STA_SP2_NO!$D$13</f>
        <v>4519</v>
      </c>
      <c r="M8" s="332">
        <f>[11]STA_SP2_NO!$D$13</f>
        <v>229.25</v>
      </c>
      <c r="N8" s="249">
        <f t="shared" si="0"/>
        <v>86378.69</v>
      </c>
    </row>
    <row r="9" spans="1:14" ht="15.75" thickBot="1" x14ac:dyDescent="0.3">
      <c r="A9" s="32">
        <v>4</v>
      </c>
      <c r="B9" s="33" t="s">
        <v>42</v>
      </c>
      <c r="C9" s="61">
        <f>[1]STA_SP2_NO!$D$14</f>
        <v>1207.25</v>
      </c>
      <c r="D9" s="68">
        <f>[2]STA_SP2_NO!$D$14</f>
        <v>747.22</v>
      </c>
      <c r="E9" s="117">
        <f>[3]STA_SP2_NO!$D$14</f>
        <v>188</v>
      </c>
      <c r="F9" s="126">
        <f>[4]STA_SP2_NO!$D$14</f>
        <v>541.6</v>
      </c>
      <c r="G9" s="117">
        <f>[5]STA_SP2_NO!$D$14</f>
        <v>339</v>
      </c>
      <c r="H9" s="126">
        <f>[6]STA_SP2_NO!$D$14</f>
        <v>734.12</v>
      </c>
      <c r="I9" s="117">
        <f>[7]STA_SP2_NO!$D$14</f>
        <v>1015</v>
      </c>
      <c r="J9" s="68">
        <f>[8]STA_SP2_NO!$D$14</f>
        <v>1025</v>
      </c>
      <c r="K9" s="62">
        <f>[9]STA_SP2_NO!$D$14</f>
        <v>482.15</v>
      </c>
      <c r="L9" s="68">
        <f>[10]STA_SP2_NO!$D$14</f>
        <v>1110</v>
      </c>
      <c r="M9" s="332">
        <f>[11]STA_SP2_NO!$D$14</f>
        <v>56.12</v>
      </c>
      <c r="N9" s="249">
        <f t="shared" si="0"/>
        <v>7445.46</v>
      </c>
    </row>
    <row r="10" spans="1:14" ht="15.75" thickBot="1" x14ac:dyDescent="0.3">
      <c r="A10" s="32">
        <v>5</v>
      </c>
      <c r="B10" s="33" t="s">
        <v>43</v>
      </c>
      <c r="C10" s="61">
        <f>[1]STA_SP2_NO!$D$15</f>
        <v>434.25</v>
      </c>
      <c r="D10" s="68">
        <f>[2]STA_SP2_NO!$D$15</f>
        <v>124.62</v>
      </c>
      <c r="E10" s="117">
        <f>[3]STA_SP2_NO!$D$15</f>
        <v>262</v>
      </c>
      <c r="F10" s="126">
        <f>[4]STA_SP2_NO!$D$15</f>
        <v>171.98</v>
      </c>
      <c r="G10" s="117">
        <f>[5]STA_SP2_NO!$D$15</f>
        <v>125</v>
      </c>
      <c r="H10" s="126">
        <f>[6]STA_SP2_NO!$D$15</f>
        <v>1401.08</v>
      </c>
      <c r="I10" s="117">
        <f>[7]STA_SP2_NO!$D$15</f>
        <v>322</v>
      </c>
      <c r="J10" s="68">
        <f>[8]STA_SP2_NO!$D$15</f>
        <v>1090</v>
      </c>
      <c r="K10" s="62">
        <f>[9]STA_SP2_NO!$D$15</f>
        <v>107.76</v>
      </c>
      <c r="L10" s="68">
        <f>[10]STA_SP2_NO!$D$15</f>
        <v>200</v>
      </c>
      <c r="M10" s="332">
        <f>[11]STA_SP2_NO!$D$15</f>
        <v>4.24</v>
      </c>
      <c r="N10" s="249">
        <f t="shared" si="0"/>
        <v>4242.93</v>
      </c>
    </row>
    <row r="11" spans="1:14" ht="15.75" thickBot="1" x14ac:dyDescent="0.3">
      <c r="A11" s="32">
        <v>6</v>
      </c>
      <c r="B11" s="33" t="s">
        <v>44</v>
      </c>
      <c r="C11" s="61">
        <f>[1]STA_SP2_NO!$D$16</f>
        <v>11413.46</v>
      </c>
      <c r="D11" s="68">
        <f>[2]STA_SP2_NO!$D$16</f>
        <v>6587.26</v>
      </c>
      <c r="E11" s="117">
        <f>[3]STA_SP2_NO!$D$16</f>
        <v>3468</v>
      </c>
      <c r="F11" s="126">
        <f>[4]STA_SP2_NO!$D$16</f>
        <v>11153.55</v>
      </c>
      <c r="G11" s="117">
        <f>[5]STA_SP2_NO!$D$16</f>
        <v>5394</v>
      </c>
      <c r="H11" s="126">
        <f>[6]STA_SP2_NO!$D$16</f>
        <v>10619.43</v>
      </c>
      <c r="I11" s="117">
        <f>[7]STA_SP2_NO!$D$16</f>
        <v>14288</v>
      </c>
      <c r="J11" s="68">
        <f>[8]STA_SP2_NO!$D$16</f>
        <v>8460</v>
      </c>
      <c r="K11" s="62">
        <f>[9]STA_SP2_NO!$D$16</f>
        <v>4123.05</v>
      </c>
      <c r="L11" s="68">
        <f>[10]STA_SP2_NO!$D$16</f>
        <v>14409</v>
      </c>
      <c r="M11" s="332">
        <f>[11]STA_SP2_NO!$D$16</f>
        <v>156.72999999999999</v>
      </c>
      <c r="N11" s="249">
        <f t="shared" si="0"/>
        <v>90072.48000000001</v>
      </c>
    </row>
    <row r="12" spans="1:14" ht="15.75" thickBot="1" x14ac:dyDescent="0.3">
      <c r="A12" s="32">
        <v>7</v>
      </c>
      <c r="B12" s="33" t="s">
        <v>45</v>
      </c>
      <c r="C12" s="61">
        <f>[1]STA_SP2_NO!$D$17</f>
        <v>716.96</v>
      </c>
      <c r="D12" s="68">
        <f>[2]STA_SP2_NO!$D$17</f>
        <v>537.16</v>
      </c>
      <c r="E12" s="117">
        <f>[3]STA_SP2_NO!$D$17</f>
        <v>234</v>
      </c>
      <c r="F12" s="126">
        <f>[4]STA_SP2_NO!$D$17</f>
        <v>538.47</v>
      </c>
      <c r="G12" s="117">
        <f>[5]STA_SP2_NO!$D$17</f>
        <v>285</v>
      </c>
      <c r="H12" s="126">
        <f>[6]STA_SP2_NO!$D$17</f>
        <v>439.11</v>
      </c>
      <c r="I12" s="117">
        <f>[7]STA_SP2_NO!$D$17</f>
        <v>764</v>
      </c>
      <c r="J12" s="68">
        <f>[8]STA_SP2_NO!$D$17</f>
        <v>598</v>
      </c>
      <c r="K12" s="62">
        <f>[9]STA_SP2_NO!$D$17</f>
        <v>321.64999999999998</v>
      </c>
      <c r="L12" s="68">
        <f>[10]STA_SP2_NO!$D$17</f>
        <v>482</v>
      </c>
      <c r="M12" s="332">
        <f>[11]STA_SP2_NO!$D$17</f>
        <v>26.27</v>
      </c>
      <c r="N12" s="249">
        <f t="shared" si="0"/>
        <v>4942.6200000000008</v>
      </c>
    </row>
    <row r="13" spans="1:14" ht="15.75" thickBot="1" x14ac:dyDescent="0.3">
      <c r="A13" s="32">
        <v>8</v>
      </c>
      <c r="B13" s="33" t="s">
        <v>46</v>
      </c>
      <c r="C13" s="61">
        <f>[1]STA_SP2_NO!$D$18</f>
        <v>1700.13</v>
      </c>
      <c r="D13" s="68">
        <f>[2]STA_SP2_NO!$D$18</f>
        <v>439.65</v>
      </c>
      <c r="E13" s="117">
        <f>[3]STA_SP2_NO!$D$18</f>
        <v>603</v>
      </c>
      <c r="F13" s="126">
        <f>[4]STA_SP2_NO!$D$18</f>
        <v>644.86</v>
      </c>
      <c r="G13" s="117">
        <f>[5]STA_SP2_NO!$D$18</f>
        <v>810</v>
      </c>
      <c r="H13" s="126">
        <f>[6]STA_SP2_NO!$D$18</f>
        <v>0</v>
      </c>
      <c r="I13" s="117">
        <f>[7]STA_SP2_NO!$D$18</f>
        <v>1723</v>
      </c>
      <c r="J13" s="68">
        <f>[8]STA_SP2_NO!$D$18</f>
        <v>1871</v>
      </c>
      <c r="K13" s="62">
        <f>[9]STA_SP2_NO!$D$18</f>
        <v>455.13</v>
      </c>
      <c r="L13" s="68">
        <f>[10]STA_SP2_NO!$D$18</f>
        <v>709</v>
      </c>
      <c r="M13" s="332">
        <f>[11]STA_SP2_NO!$D$18</f>
        <v>30.52</v>
      </c>
      <c r="N13" s="249">
        <f t="shared" si="0"/>
        <v>8986.2900000000009</v>
      </c>
    </row>
    <row r="14" spans="1:14" ht="23.25" thickBot="1" x14ac:dyDescent="0.3">
      <c r="A14" s="32">
        <v>9</v>
      </c>
      <c r="B14" s="53" t="s">
        <v>47</v>
      </c>
      <c r="C14" s="61">
        <f>[1]STA_SP2_NO!$D$19</f>
        <v>0</v>
      </c>
      <c r="D14" s="68">
        <f>[2]STA_SP2_NO!$D$19</f>
        <v>0</v>
      </c>
      <c r="E14" s="117">
        <f>[3]STA_SP2_NO!$D$19</f>
        <v>0</v>
      </c>
      <c r="F14" s="126">
        <f>[4]STA_SP2_NO!$D$19</f>
        <v>0</v>
      </c>
      <c r="G14" s="117">
        <f>[5]STA_SP2_NO!$D$19</f>
        <v>0</v>
      </c>
      <c r="H14" s="126">
        <f>[6]STA_SP2_NO!$D$19</f>
        <v>0</v>
      </c>
      <c r="I14" s="117">
        <f>[7]STA_SP2_NO!$D$19</f>
        <v>0</v>
      </c>
      <c r="J14" s="68">
        <f>[8]STA_SP2_NO!$D$19</f>
        <v>0</v>
      </c>
      <c r="K14" s="62">
        <f>[9]STA_SP2_NO!$D$19</f>
        <v>0</v>
      </c>
      <c r="L14" s="68">
        <f>[10]STA_SP2_NO!$D$19</f>
        <v>0</v>
      </c>
      <c r="M14" s="332">
        <f>[11]STA_SP2_NO!$D$19</f>
        <v>0</v>
      </c>
      <c r="N14" s="249">
        <f t="shared" si="0"/>
        <v>0</v>
      </c>
    </row>
    <row r="15" spans="1:14" ht="23.25" thickBot="1" x14ac:dyDescent="0.3">
      <c r="A15" s="32">
        <v>10</v>
      </c>
      <c r="B15" s="53" t="s">
        <v>48</v>
      </c>
      <c r="C15" s="61">
        <f>[1]STA_SP2_NO!$D$20</f>
        <v>0</v>
      </c>
      <c r="D15" s="68">
        <f>[2]STA_SP2_NO!$D$20</f>
        <v>0</v>
      </c>
      <c r="E15" s="117">
        <f>[3]STA_SP2_NO!$D$20</f>
        <v>0</v>
      </c>
      <c r="F15" s="126">
        <f>[4]STA_SP2_NO!$D$20</f>
        <v>0</v>
      </c>
      <c r="G15" s="117">
        <f>[5]STA_SP2_NO!$D$20</f>
        <v>0</v>
      </c>
      <c r="H15" s="126">
        <f>[6]STA_SP2_NO!$D$20</f>
        <v>0</v>
      </c>
      <c r="I15" s="117">
        <f>[7]STA_SP2_NO!$D$20</f>
        <v>0</v>
      </c>
      <c r="J15" s="68">
        <f>[8]STA_SP2_NO!$D$20</f>
        <v>0</v>
      </c>
      <c r="K15" s="62">
        <f>[9]STA_SP2_NO!$D$20</f>
        <v>0</v>
      </c>
      <c r="L15" s="68">
        <f>[10]STA_SP2_NO!$D$20</f>
        <v>0</v>
      </c>
      <c r="M15" s="332">
        <f>[11]STA_SP2_NO!$D$20</f>
        <v>0</v>
      </c>
      <c r="N15" s="249">
        <f t="shared" si="0"/>
        <v>0</v>
      </c>
    </row>
    <row r="16" spans="1:14" ht="15.75" thickBot="1" x14ac:dyDescent="0.3">
      <c r="A16" s="32">
        <v>11</v>
      </c>
      <c r="B16" s="33" t="s">
        <v>49</v>
      </c>
      <c r="C16" s="61">
        <f>[1]STA_SP2_NO!$D$21</f>
        <v>0</v>
      </c>
      <c r="D16" s="68">
        <f>[2]STA_SP2_NO!$D$21</f>
        <v>0</v>
      </c>
      <c r="E16" s="117">
        <f>[3]STA_SP2_NO!$D$21</f>
        <v>0</v>
      </c>
      <c r="F16" s="126">
        <f>[4]STA_SP2_NO!$D$21</f>
        <v>0</v>
      </c>
      <c r="G16" s="117">
        <f>[5]STA_SP2_NO!$D$21</f>
        <v>825</v>
      </c>
      <c r="H16" s="126">
        <f>[6]STA_SP2_NO!$D$21</f>
        <v>0</v>
      </c>
      <c r="I16" s="117">
        <f>[7]STA_SP2_NO!$D$21</f>
        <v>0</v>
      </c>
      <c r="J16" s="68">
        <f>[8]STA_SP2_NO!$D$21</f>
        <v>0</v>
      </c>
      <c r="K16" s="62">
        <f>[9]STA_SP2_NO!$D$21</f>
        <v>0</v>
      </c>
      <c r="L16" s="68">
        <f>[10]STA_SP2_NO!$D$21</f>
        <v>0</v>
      </c>
      <c r="M16" s="332">
        <f>[11]STA_SP2_NO!$D$21</f>
        <v>41.1</v>
      </c>
      <c r="N16" s="249">
        <f t="shared" si="0"/>
        <v>866.1</v>
      </c>
    </row>
    <row r="17" spans="1:14" ht="45.75" thickBot="1" x14ac:dyDescent="0.3">
      <c r="A17" s="32">
        <v>12</v>
      </c>
      <c r="B17" s="53" t="s">
        <v>50</v>
      </c>
      <c r="C17" s="61">
        <f>[1]STA_SP2_NO!$D$22</f>
        <v>0</v>
      </c>
      <c r="D17" s="68">
        <f>[2]STA_SP2_NO!$D$22</f>
        <v>0</v>
      </c>
      <c r="E17" s="117">
        <f>[3]STA_SP2_NO!$D$22</f>
        <v>0</v>
      </c>
      <c r="F17" s="126">
        <f>[4]STA_SP2_NO!$D$22</f>
        <v>0</v>
      </c>
      <c r="G17" s="117">
        <f>[5]STA_SP2_NO!$D$22</f>
        <v>0</v>
      </c>
      <c r="H17" s="126">
        <f>[6]STA_SP2_NO!$D$22</f>
        <v>0</v>
      </c>
      <c r="I17" s="117">
        <f>[7]STA_SP2_NO!$D$22</f>
        <v>0</v>
      </c>
      <c r="J17" s="68">
        <f>[8]STA_SP2_NO!$D$22</f>
        <v>0</v>
      </c>
      <c r="K17" s="62">
        <f>[9]STA_SP2_NO!$D$22</f>
        <v>0</v>
      </c>
      <c r="L17" s="68">
        <f>[10]STA_SP2_NO!$D$22</f>
        <v>0</v>
      </c>
      <c r="M17" s="386">
        <f>[11]STA_SP2_NO!$D$22</f>
        <v>0</v>
      </c>
      <c r="N17" s="249">
        <f t="shared" si="0"/>
        <v>0</v>
      </c>
    </row>
    <row r="18" spans="1:14" ht="34.5" thickBot="1" x14ac:dyDescent="0.3">
      <c r="A18" s="32">
        <v>13</v>
      </c>
      <c r="B18" s="53" t="s">
        <v>51</v>
      </c>
      <c r="C18" s="61">
        <f>[1]STA_SP2_NO!$D$23</f>
        <v>1050.8699999999999</v>
      </c>
      <c r="D18" s="68">
        <f>[2]STA_SP2_NO!$D$23</f>
        <v>0</v>
      </c>
      <c r="E18" s="117">
        <f>[3]STA_SP2_NO!$D$23</f>
        <v>0</v>
      </c>
      <c r="F18" s="126">
        <f>[4]STA_SP2_NO!$D$23</f>
        <v>0</v>
      </c>
      <c r="G18" s="117">
        <f>[5]STA_SP2_NO!$D$23</f>
        <v>663</v>
      </c>
      <c r="H18" s="126">
        <f>[6]STA_SP2_NO!$D$23</f>
        <v>0</v>
      </c>
      <c r="I18" s="117">
        <f>[7]STA_SP2_NO!$D$23</f>
        <v>0</v>
      </c>
      <c r="J18" s="68">
        <f>[8]STA_SP2_NO!$D$23</f>
        <v>0</v>
      </c>
      <c r="K18" s="62">
        <f>[9]STA_SP2_NO!$D$23</f>
        <v>0</v>
      </c>
      <c r="L18" s="68">
        <f>[10]STA_SP2_NO!$D$23</f>
        <v>8</v>
      </c>
      <c r="M18" s="386">
        <f>[11]STA_SP2_NO!$D$23</f>
        <v>0</v>
      </c>
      <c r="N18" s="249">
        <f t="shared" si="0"/>
        <v>1721.87</v>
      </c>
    </row>
    <row r="19" spans="1:14" ht="15.75" thickBot="1" x14ac:dyDescent="0.3">
      <c r="A19" s="36"/>
      <c r="B19" s="37" t="s">
        <v>37</v>
      </c>
      <c r="C19" s="41">
        <f t="shared" ref="C19:E19" si="1">SUM(C6:C18)</f>
        <v>641293.21</v>
      </c>
      <c r="D19" s="42">
        <f>SUM(D6:D18)</f>
        <v>338249.83</v>
      </c>
      <c r="E19" s="41">
        <f t="shared" si="1"/>
        <v>219771</v>
      </c>
      <c r="F19" s="39">
        <f t="shared" ref="F19:N19" si="2">SUM(F6:F18)</f>
        <v>399653.51999999984</v>
      </c>
      <c r="G19" s="41">
        <f t="shared" si="2"/>
        <v>347427</v>
      </c>
      <c r="H19" s="42">
        <f t="shared" si="2"/>
        <v>504522.08999999997</v>
      </c>
      <c r="I19" s="41">
        <f t="shared" si="2"/>
        <v>837730</v>
      </c>
      <c r="J19" s="42">
        <f t="shared" si="2"/>
        <v>450217</v>
      </c>
      <c r="K19" s="41">
        <f t="shared" si="2"/>
        <v>274599.19000000006</v>
      </c>
      <c r="L19" s="42">
        <f t="shared" si="2"/>
        <v>519745</v>
      </c>
      <c r="M19" s="333">
        <f t="shared" si="2"/>
        <v>28149.61</v>
      </c>
      <c r="N19" s="250">
        <f t="shared" si="2"/>
        <v>4561357.45</v>
      </c>
    </row>
    <row r="20" spans="1:14" ht="15.75" thickBot="1" x14ac:dyDescent="0.3">
      <c r="A20" s="1"/>
      <c r="B20" s="1"/>
      <c r="C20" s="1"/>
      <c r="D20" s="1"/>
      <c r="E20" s="1"/>
      <c r="F20" s="1"/>
      <c r="G20" s="341"/>
      <c r="H20" s="1"/>
      <c r="I20" s="341"/>
      <c r="J20" s="1"/>
      <c r="K20" s="341"/>
      <c r="L20" s="1"/>
      <c r="M20" s="341"/>
      <c r="N20" s="1"/>
    </row>
    <row r="21" spans="1:14" ht="15.75" thickBot="1" x14ac:dyDescent="0.3">
      <c r="A21" s="467" t="s">
        <v>53</v>
      </c>
      <c r="B21" s="518"/>
      <c r="C21" s="55">
        <f>C19/N19</f>
        <v>0.14059262336478365</v>
      </c>
      <c r="D21" s="56">
        <f>D19/N19</f>
        <v>7.4155519208432136E-2</v>
      </c>
      <c r="E21" s="48">
        <f>E19/N19</f>
        <v>4.8181051892786868E-2</v>
      </c>
      <c r="F21" s="47">
        <f>F19/N19</f>
        <v>8.7617233330398128E-2</v>
      </c>
      <c r="G21" s="70">
        <f>G19/N19</f>
        <v>7.6167457562441199E-2</v>
      </c>
      <c r="H21" s="47">
        <f>H19/N19</f>
        <v>0.11060788274771141</v>
      </c>
      <c r="I21" s="70">
        <f>I19/N19</f>
        <v>0.18365804679481981</v>
      </c>
      <c r="J21" s="47">
        <f>J19/N19</f>
        <v>9.8702415878413566E-2</v>
      </c>
      <c r="K21" s="70">
        <f>K19/N19</f>
        <v>6.0201199535458473E-2</v>
      </c>
      <c r="L21" s="47">
        <f>L19/N19</f>
        <v>0.11394524671597486</v>
      </c>
      <c r="M21" s="342">
        <f>M19/N19</f>
        <v>6.1713229687798306E-3</v>
      </c>
      <c r="N21" s="258">
        <f>SUM(C21:M21)</f>
        <v>0.99999999999999989</v>
      </c>
    </row>
  </sheetData>
  <mergeCells count="17">
    <mergeCell ref="N2:N5"/>
    <mergeCell ref="C3:C5"/>
    <mergeCell ref="D3:D5"/>
    <mergeCell ref="E3:E5"/>
    <mergeCell ref="F3:F5"/>
    <mergeCell ref="G3:G5"/>
    <mergeCell ref="L3:L5"/>
    <mergeCell ref="C2:M2"/>
    <mergeCell ref="M3:M5"/>
    <mergeCell ref="C1:K1"/>
    <mergeCell ref="A2:A5"/>
    <mergeCell ref="B2:B5"/>
    <mergeCell ref="A21:B21"/>
    <mergeCell ref="H3:H5"/>
    <mergeCell ref="I3:I5"/>
    <mergeCell ref="J3:J5"/>
    <mergeCell ref="K3:K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Премија</vt:lpstr>
      <vt:lpstr>Број на склучени договори</vt:lpstr>
      <vt:lpstr>Ликвидирани штети</vt:lpstr>
      <vt:lpstr>Број на ликвидирани штети</vt:lpstr>
      <vt:lpstr>Број на резервирани штети</vt:lpstr>
      <vt:lpstr>Резервации</vt:lpstr>
      <vt:lpstr>Не пријавени штети</vt:lpstr>
      <vt:lpstr>ЗАО договори</vt:lpstr>
      <vt:lpstr>ЗАО Премија</vt:lpstr>
      <vt:lpstr>ЗК Број Премија</vt:lpstr>
      <vt:lpstr>ГР Број и Премија </vt:lpstr>
      <vt:lpstr>ЗАО број Лик штети</vt:lpstr>
      <vt:lpstr>ЗАО Ликвидирани штети</vt:lpstr>
      <vt:lpstr>ЗК број и штети</vt:lpstr>
      <vt:lpstr>ГР Број Штети</vt:lpstr>
      <vt:lpstr>Техничка премија</vt:lpstr>
      <vt:lpstr>Рез за настанати при штети</vt:lpstr>
      <vt:lpstr>Продажба по канали</vt:lpstr>
      <vt:lpstr>Бруто тех</vt:lpstr>
      <vt:lpstr>Вкупно</vt:lpstr>
      <vt:lpstr>Преносна премија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BetiMitrovska</dc:creator>
  <cp:lastModifiedBy>Viktorija</cp:lastModifiedBy>
  <cp:lastPrinted>2026-02-16T14:54:57Z</cp:lastPrinted>
  <dcterms:created xsi:type="dcterms:W3CDTF">2013-08-27T07:05:34Z</dcterms:created>
  <dcterms:modified xsi:type="dcterms:W3CDTF">2026-02-17T13:20:04Z</dcterms:modified>
</cp:coreProperties>
</file>